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4160" windowHeight="11535" tabRatio="601" activeTab="1"/>
  </bookViews>
  <sheets>
    <sheet name="Project Matrix" sheetId="61" r:id="rId1"/>
    <sheet name="BCA Summary" sheetId="27" r:id="rId2"/>
    <sheet name="0.25 Mile Population" sheetId="1" r:id="rId3"/>
    <sheet name="0.50 Mile Population " sheetId="2" r:id="rId4"/>
    <sheet name="1 Mile Population" sheetId="6" r:id="rId5"/>
    <sheet name="Fayette County Statistics" sheetId="4" r:id="rId6"/>
    <sheet name="Estimating Users Methodology" sheetId="5" r:id="rId7"/>
    <sheet name="Regional Trail Users" sheetId="62" r:id="rId8"/>
    <sheet name="Bicycle Users" sheetId="8" r:id="rId9"/>
    <sheet name="Pedestrian Users" sheetId="12" r:id="rId10"/>
    <sheet name="Inputs" sheetId="14" r:id="rId11"/>
    <sheet name="CPI" sheetId="15" r:id="rId12"/>
    <sheet name="SCC" sheetId="24" r:id="rId13"/>
    <sheet name="Reduced VMT" sheetId="19" r:id="rId14"/>
    <sheet name="Roadway Maintenance Savings" sheetId="28" r:id="rId15"/>
    <sheet name="Vehicle Cost Savings" sheetId="22" r:id="rId16"/>
    <sheet name="Reduced Fuel Consumption" sheetId="26" r:id="rId17"/>
    <sheet name="Congestion Savings" sheetId="25" r:id="rId18"/>
    <sheet name="Property Value Increases " sheetId="40" r:id="rId19"/>
    <sheet name="Recreational Benefits" sheetId="16" r:id="rId20"/>
    <sheet name="Mobility Benefits" sheetId="7" r:id="rId21"/>
    <sheet name="Health Benefits " sheetId="17" r:id="rId22"/>
    <sheet name="Reduced Emissions" sheetId="20" r:id="rId23"/>
    <sheet name="Stormwater Benefits" sheetId="30" r:id="rId24"/>
    <sheet name="Reduces Crashes" sheetId="63" r:id="rId25"/>
    <sheet name="Reduced Bike and Ped Crashes" sheetId="18" state="hidden" r:id="rId26"/>
    <sheet name="Reduced Vehicle Crashes" sheetId="36" state="hidden" r:id="rId27"/>
    <sheet name="Detailed Cost Estimate" sheetId="39" r:id="rId28"/>
    <sheet name="Costs" sheetId="32" r:id="rId29"/>
    <sheet name="0.25 Mi Zone Seperation" sheetId="53" state="hidden" r:id="rId30"/>
    <sheet name="0.5 Mi Zone Seperation" sheetId="52" state="hidden" r:id="rId31"/>
    <sheet name="1 Mi Zone Seperation" sheetId="51" state="hidden" r:id="rId32"/>
    <sheet name="KSP Crash Data" sheetId="54" r:id="rId33"/>
    <sheet name="Legacy Trail" sheetId="59" state="hidden" r:id="rId34"/>
    <sheet name="Town Branch Trail" sheetId="60" state="hidden" r:id="rId35"/>
  </sheets>
  <calcPr calcId="145621"/>
</workbook>
</file>

<file path=xl/calcChain.xml><?xml version="1.0" encoding="utf-8"?>
<calcChain xmlns="http://schemas.openxmlformats.org/spreadsheetml/2006/main">
  <c r="B197" i="14" l="1"/>
  <c r="H17" i="15"/>
  <c r="H16" i="15"/>
  <c r="C44" i="63" l="1"/>
  <c r="C43" i="63"/>
  <c r="C42" i="63"/>
  <c r="C41" i="63"/>
  <c r="C40" i="63"/>
  <c r="C39" i="63"/>
  <c r="C38" i="63"/>
  <c r="C37" i="63"/>
  <c r="C36" i="63"/>
  <c r="C35" i="63"/>
  <c r="C34" i="63"/>
  <c r="C33" i="63"/>
  <c r="C32" i="63"/>
  <c r="C31" i="63"/>
  <c r="C30" i="63"/>
  <c r="C29" i="63"/>
  <c r="C28" i="63"/>
  <c r="C27" i="63"/>
  <c r="C26" i="63"/>
  <c r="C25" i="63"/>
  <c r="C24" i="63"/>
  <c r="C23" i="63"/>
  <c r="C22" i="63"/>
  <c r="C21" i="63"/>
  <c r="C20" i="63"/>
  <c r="C19" i="63"/>
  <c r="C18" i="63"/>
  <c r="C17" i="63"/>
  <c r="C16" i="63"/>
  <c r="C15" i="63"/>
  <c r="B163" i="14" l="1"/>
  <c r="D32" i="5"/>
  <c r="B32" i="5"/>
  <c r="H76" i="32"/>
  <c r="J76" i="32"/>
  <c r="G76" i="32"/>
  <c r="E76" i="32"/>
  <c r="D76" i="32"/>
  <c r="C76" i="32"/>
  <c r="J75" i="32"/>
  <c r="H75" i="32"/>
  <c r="G75" i="32"/>
  <c r="E75" i="32"/>
  <c r="D75" i="32"/>
  <c r="C75" i="32"/>
  <c r="J74" i="32"/>
  <c r="H74" i="32"/>
  <c r="G74" i="32"/>
  <c r="E74" i="32"/>
  <c r="D74" i="32"/>
  <c r="C74" i="32"/>
  <c r="J73" i="32"/>
  <c r="H73" i="32"/>
  <c r="G73" i="32"/>
  <c r="E73" i="32"/>
  <c r="D73" i="32"/>
  <c r="C73" i="32"/>
  <c r="J72" i="32"/>
  <c r="H72" i="32"/>
  <c r="G72" i="32"/>
  <c r="E72" i="32"/>
  <c r="D72" i="32"/>
  <c r="C72" i="32"/>
  <c r="J71" i="32"/>
  <c r="H71" i="32"/>
  <c r="G71" i="32"/>
  <c r="E71" i="32"/>
  <c r="D71" i="32"/>
  <c r="C71" i="32"/>
  <c r="J70" i="32"/>
  <c r="H70" i="32"/>
  <c r="G70" i="32"/>
  <c r="E70" i="32"/>
  <c r="D70" i="32"/>
  <c r="C70" i="32"/>
  <c r="J69" i="32"/>
  <c r="H69" i="32"/>
  <c r="G69" i="32"/>
  <c r="E69" i="32"/>
  <c r="D69" i="32"/>
  <c r="C69" i="32"/>
  <c r="J68" i="32"/>
  <c r="H68" i="32"/>
  <c r="G68" i="32"/>
  <c r="E68" i="32"/>
  <c r="D68" i="32"/>
  <c r="C68" i="32"/>
  <c r="J67" i="32"/>
  <c r="H67" i="32"/>
  <c r="G67" i="32"/>
  <c r="E67" i="32"/>
  <c r="D67" i="32"/>
  <c r="C67" i="32"/>
  <c r="J66" i="32"/>
  <c r="H66" i="32"/>
  <c r="G66" i="32"/>
  <c r="E66" i="32"/>
  <c r="D66" i="32"/>
  <c r="C66" i="32"/>
  <c r="J65" i="32"/>
  <c r="H65" i="32"/>
  <c r="G65" i="32"/>
  <c r="E65" i="32"/>
  <c r="D65" i="32"/>
  <c r="C65" i="32"/>
  <c r="J64" i="32"/>
  <c r="H64" i="32"/>
  <c r="G64" i="32"/>
  <c r="E64" i="32"/>
  <c r="D64" i="32"/>
  <c r="C64" i="32"/>
  <c r="J63" i="32"/>
  <c r="H63" i="32"/>
  <c r="G63" i="32"/>
  <c r="E63" i="32"/>
  <c r="D63" i="32"/>
  <c r="C63" i="32"/>
  <c r="J62" i="32"/>
  <c r="H62" i="32"/>
  <c r="G62" i="32"/>
  <c r="E62" i="32"/>
  <c r="D62" i="32"/>
  <c r="C62" i="32"/>
  <c r="J61" i="32"/>
  <c r="H61" i="32"/>
  <c r="G61" i="32"/>
  <c r="E61" i="32"/>
  <c r="D61" i="32"/>
  <c r="C61" i="32"/>
  <c r="J60" i="32"/>
  <c r="H60" i="32"/>
  <c r="G60" i="32"/>
  <c r="E60" i="32"/>
  <c r="D60" i="32"/>
  <c r="C60" i="32"/>
  <c r="J59" i="32"/>
  <c r="H59" i="32"/>
  <c r="G59" i="32"/>
  <c r="E59" i="32"/>
  <c r="D59" i="32"/>
  <c r="C59" i="32"/>
  <c r="J58" i="32"/>
  <c r="H58" i="32"/>
  <c r="G58" i="32"/>
  <c r="E58" i="32"/>
  <c r="D58" i="32"/>
  <c r="C58" i="32"/>
  <c r="J57" i="32"/>
  <c r="H57" i="32"/>
  <c r="G57" i="32"/>
  <c r="E57" i="32"/>
  <c r="D57" i="32"/>
  <c r="C57" i="32"/>
  <c r="J56" i="32"/>
  <c r="H56" i="32"/>
  <c r="G56" i="32"/>
  <c r="E56" i="32"/>
  <c r="D56" i="32"/>
  <c r="C56" i="32"/>
  <c r="J55" i="32"/>
  <c r="H55" i="32"/>
  <c r="G55" i="32"/>
  <c r="E55" i="32"/>
  <c r="D55" i="32"/>
  <c r="C55" i="32"/>
  <c r="J54" i="32"/>
  <c r="H54" i="32"/>
  <c r="G54" i="32"/>
  <c r="E54" i="32"/>
  <c r="D54" i="32"/>
  <c r="C54" i="32"/>
  <c r="J53" i="32"/>
  <c r="H53" i="32"/>
  <c r="G53" i="32"/>
  <c r="E53" i="32"/>
  <c r="D53" i="32"/>
  <c r="C53" i="32"/>
  <c r="J52" i="32"/>
  <c r="H52" i="32"/>
  <c r="G52" i="32"/>
  <c r="E52" i="32"/>
  <c r="D52" i="32"/>
  <c r="C52" i="32"/>
  <c r="J51" i="32"/>
  <c r="H51" i="32"/>
  <c r="G51" i="32"/>
  <c r="E51" i="32"/>
  <c r="D51" i="32"/>
  <c r="C51" i="32"/>
  <c r="J50" i="32"/>
  <c r="H50" i="32"/>
  <c r="G50" i="32"/>
  <c r="E50" i="32"/>
  <c r="D50" i="32"/>
  <c r="C50" i="32"/>
  <c r="J49" i="32"/>
  <c r="H49" i="32"/>
  <c r="G49" i="32"/>
  <c r="E49" i="32"/>
  <c r="D49" i="32"/>
  <c r="C49" i="32"/>
  <c r="J48" i="32"/>
  <c r="H48" i="32"/>
  <c r="G48" i="32"/>
  <c r="E48" i="32"/>
  <c r="D48" i="32"/>
  <c r="C48" i="32"/>
  <c r="J47" i="32"/>
  <c r="H47" i="32"/>
  <c r="G47" i="32"/>
  <c r="E47" i="32"/>
  <c r="D47" i="32"/>
  <c r="C47" i="32"/>
  <c r="J46" i="32"/>
  <c r="H46" i="32"/>
  <c r="G46" i="32"/>
  <c r="E46" i="32"/>
  <c r="D46" i="32"/>
  <c r="C46" i="32"/>
  <c r="J45" i="32"/>
  <c r="H45" i="32"/>
  <c r="G45" i="32"/>
  <c r="E45" i="32"/>
  <c r="D45" i="32"/>
  <c r="C45" i="32"/>
  <c r="J44" i="32"/>
  <c r="H44" i="32"/>
  <c r="G44" i="32"/>
  <c r="E44" i="32"/>
  <c r="D44" i="32"/>
  <c r="C44" i="32"/>
  <c r="J43" i="32"/>
  <c r="H43" i="32"/>
  <c r="G43" i="32"/>
  <c r="E43" i="32"/>
  <c r="D43" i="32"/>
  <c r="C43" i="32"/>
  <c r="J42" i="32"/>
  <c r="H42" i="32"/>
  <c r="G42" i="32"/>
  <c r="E42" i="32"/>
  <c r="D42" i="32"/>
  <c r="C42" i="32"/>
  <c r="B43" i="32"/>
  <c r="B44" i="32" s="1"/>
  <c r="B45" i="32" s="1"/>
  <c r="B46" i="32" s="1"/>
  <c r="B47" i="32" s="1"/>
  <c r="B48" i="32" s="1"/>
  <c r="B49" i="32" s="1"/>
  <c r="B50" i="32" s="1"/>
  <c r="B51" i="32" s="1"/>
  <c r="B52" i="32" s="1"/>
  <c r="B53" i="32" s="1"/>
  <c r="B54" i="32" s="1"/>
  <c r="B55" i="32" s="1"/>
  <c r="B56" i="32" s="1"/>
  <c r="B57" i="32" s="1"/>
  <c r="B58" i="32" s="1"/>
  <c r="B59" i="32" s="1"/>
  <c r="B60" i="32" s="1"/>
  <c r="B61" i="32" s="1"/>
  <c r="B62" i="32" s="1"/>
  <c r="B63" i="32" s="1"/>
  <c r="B64" i="32" s="1"/>
  <c r="B65" i="32" s="1"/>
  <c r="B66" i="32" s="1"/>
  <c r="B67" i="32" s="1"/>
  <c r="B68" i="32" s="1"/>
  <c r="B69" i="32" s="1"/>
  <c r="B70" i="32" s="1"/>
  <c r="B71" i="32" s="1"/>
  <c r="B72" i="32" s="1"/>
  <c r="B73" i="32" s="1"/>
  <c r="B74" i="32" s="1"/>
  <c r="B75" i="32" s="1"/>
  <c r="B81" i="63" l="1"/>
  <c r="B80" i="63"/>
  <c r="B79" i="63"/>
  <c r="B78" i="63"/>
  <c r="B77" i="63"/>
  <c r="B76" i="63"/>
  <c r="B75" i="63"/>
  <c r="B74" i="63"/>
  <c r="B73" i="63"/>
  <c r="B72" i="63"/>
  <c r="B71" i="63"/>
  <c r="B70" i="63"/>
  <c r="B69" i="63"/>
  <c r="B68" i="63"/>
  <c r="B67" i="63"/>
  <c r="B66" i="63"/>
  <c r="B65" i="63"/>
  <c r="B64" i="63"/>
  <c r="B63" i="63"/>
  <c r="B62" i="63"/>
  <c r="B61" i="63"/>
  <c r="B60" i="63"/>
  <c r="B59" i="63"/>
  <c r="B58" i="63"/>
  <c r="B57" i="63"/>
  <c r="B56" i="63"/>
  <c r="B55" i="63"/>
  <c r="B54" i="63"/>
  <c r="B53" i="63"/>
  <c r="B52" i="63"/>
  <c r="B51" i="63"/>
  <c r="D50" i="63"/>
  <c r="C50" i="63"/>
  <c r="B50" i="63"/>
  <c r="D49" i="63"/>
  <c r="C49" i="63"/>
  <c r="B49" i="63"/>
  <c r="T75" i="20"/>
  <c r="R75" i="20"/>
  <c r="Q75" i="20"/>
  <c r="P75" i="20"/>
  <c r="O75" i="20"/>
  <c r="N75" i="20"/>
  <c r="M75" i="20"/>
  <c r="G75" i="20"/>
  <c r="F75" i="20"/>
  <c r="E75" i="20"/>
  <c r="D75" i="20"/>
  <c r="C75" i="20"/>
  <c r="B75" i="20"/>
  <c r="T74" i="20"/>
  <c r="R74" i="20"/>
  <c r="Q74" i="20"/>
  <c r="P74" i="20"/>
  <c r="O74" i="20"/>
  <c r="N74" i="20"/>
  <c r="M74" i="20"/>
  <c r="G74" i="20"/>
  <c r="F74" i="20"/>
  <c r="E74" i="20"/>
  <c r="D74" i="20"/>
  <c r="C74" i="20"/>
  <c r="B74" i="20"/>
  <c r="T73" i="20"/>
  <c r="R73" i="20"/>
  <c r="Q73" i="20"/>
  <c r="P73" i="20"/>
  <c r="O73" i="20"/>
  <c r="N73" i="20"/>
  <c r="M73" i="20"/>
  <c r="G73" i="20"/>
  <c r="F73" i="20"/>
  <c r="E73" i="20"/>
  <c r="D73" i="20"/>
  <c r="C73" i="20"/>
  <c r="B73" i="20"/>
  <c r="T72" i="20"/>
  <c r="R72" i="20"/>
  <c r="Q72" i="20"/>
  <c r="P72" i="20"/>
  <c r="O72" i="20"/>
  <c r="N72" i="20"/>
  <c r="M72" i="20"/>
  <c r="G72" i="20"/>
  <c r="F72" i="20"/>
  <c r="E72" i="20"/>
  <c r="D72" i="20"/>
  <c r="C72" i="20"/>
  <c r="B72" i="20"/>
  <c r="T71" i="20"/>
  <c r="R71" i="20"/>
  <c r="Q71" i="20"/>
  <c r="P71" i="20"/>
  <c r="O71" i="20"/>
  <c r="N71" i="20"/>
  <c r="M71" i="20"/>
  <c r="G71" i="20"/>
  <c r="F71" i="20"/>
  <c r="E71" i="20"/>
  <c r="D71" i="20"/>
  <c r="C71" i="20"/>
  <c r="B71" i="20"/>
  <c r="T70" i="20"/>
  <c r="R70" i="20"/>
  <c r="Q70" i="20"/>
  <c r="P70" i="20"/>
  <c r="O70" i="20"/>
  <c r="N70" i="20"/>
  <c r="M70" i="20"/>
  <c r="G70" i="20"/>
  <c r="F70" i="20"/>
  <c r="E70" i="20"/>
  <c r="D70" i="20"/>
  <c r="C70" i="20"/>
  <c r="B70" i="20"/>
  <c r="T69" i="20"/>
  <c r="R69" i="20"/>
  <c r="Q69" i="20"/>
  <c r="P69" i="20"/>
  <c r="O69" i="20"/>
  <c r="N69" i="20"/>
  <c r="M69" i="20"/>
  <c r="G69" i="20"/>
  <c r="F69" i="20"/>
  <c r="E69" i="20"/>
  <c r="D69" i="20"/>
  <c r="C69" i="20"/>
  <c r="B69" i="20"/>
  <c r="T68" i="20"/>
  <c r="R68" i="20"/>
  <c r="Q68" i="20"/>
  <c r="P68" i="20"/>
  <c r="O68" i="20"/>
  <c r="N68" i="20"/>
  <c r="M68" i="20"/>
  <c r="G68" i="20"/>
  <c r="F68" i="20"/>
  <c r="E68" i="20"/>
  <c r="D68" i="20"/>
  <c r="C68" i="20"/>
  <c r="B68" i="20"/>
  <c r="T67" i="20"/>
  <c r="R67" i="20"/>
  <c r="Q67" i="20"/>
  <c r="P67" i="20"/>
  <c r="O67" i="20"/>
  <c r="N67" i="20"/>
  <c r="M67" i="20"/>
  <c r="G67" i="20"/>
  <c r="F67" i="20"/>
  <c r="E67" i="20"/>
  <c r="D67" i="20"/>
  <c r="C67" i="20"/>
  <c r="B67" i="20"/>
  <c r="T66" i="20"/>
  <c r="R66" i="20"/>
  <c r="Q66" i="20"/>
  <c r="P66" i="20"/>
  <c r="O66" i="20"/>
  <c r="N66" i="20"/>
  <c r="M66" i="20"/>
  <c r="G66" i="20"/>
  <c r="F66" i="20"/>
  <c r="E66" i="20"/>
  <c r="D66" i="20"/>
  <c r="C66" i="20"/>
  <c r="B66" i="20"/>
  <c r="T65" i="20"/>
  <c r="R65" i="20"/>
  <c r="Q65" i="20"/>
  <c r="P65" i="20"/>
  <c r="O65" i="20"/>
  <c r="N65" i="20"/>
  <c r="M65" i="20"/>
  <c r="G65" i="20"/>
  <c r="F65" i="20"/>
  <c r="E65" i="20"/>
  <c r="D65" i="20"/>
  <c r="C65" i="20"/>
  <c r="B65" i="20"/>
  <c r="T64" i="20"/>
  <c r="R64" i="20"/>
  <c r="Q64" i="20"/>
  <c r="P64" i="20"/>
  <c r="O64" i="20"/>
  <c r="N64" i="20"/>
  <c r="M64" i="20"/>
  <c r="G64" i="20"/>
  <c r="F64" i="20"/>
  <c r="E64" i="20"/>
  <c r="D64" i="20"/>
  <c r="C64" i="20"/>
  <c r="B64" i="20"/>
  <c r="T63" i="20"/>
  <c r="R63" i="20"/>
  <c r="Q63" i="20"/>
  <c r="P63" i="20"/>
  <c r="O63" i="20"/>
  <c r="N63" i="20"/>
  <c r="M63" i="20"/>
  <c r="G63" i="20"/>
  <c r="F63" i="20"/>
  <c r="E63" i="20"/>
  <c r="D63" i="20"/>
  <c r="C63" i="20"/>
  <c r="B63" i="20"/>
  <c r="T62" i="20"/>
  <c r="R62" i="20"/>
  <c r="Q62" i="20"/>
  <c r="P62" i="20"/>
  <c r="O62" i="20"/>
  <c r="N62" i="20"/>
  <c r="M62" i="20"/>
  <c r="G62" i="20"/>
  <c r="F62" i="20"/>
  <c r="E62" i="20"/>
  <c r="D62" i="20"/>
  <c r="C62" i="20"/>
  <c r="B62" i="20"/>
  <c r="T61" i="20"/>
  <c r="R61" i="20"/>
  <c r="Q61" i="20"/>
  <c r="P61" i="20"/>
  <c r="O61" i="20"/>
  <c r="N61" i="20"/>
  <c r="M61" i="20"/>
  <c r="G61" i="20"/>
  <c r="F61" i="20"/>
  <c r="E61" i="20"/>
  <c r="D61" i="20"/>
  <c r="C61" i="20"/>
  <c r="B61" i="20"/>
  <c r="T60" i="20"/>
  <c r="R60" i="20"/>
  <c r="Q60" i="20"/>
  <c r="P60" i="20"/>
  <c r="O60" i="20"/>
  <c r="N60" i="20"/>
  <c r="M60" i="20"/>
  <c r="G60" i="20"/>
  <c r="F60" i="20"/>
  <c r="E60" i="20"/>
  <c r="D60" i="20"/>
  <c r="C60" i="20"/>
  <c r="B60" i="20"/>
  <c r="T59" i="20"/>
  <c r="R59" i="20"/>
  <c r="Q59" i="20"/>
  <c r="P59" i="20"/>
  <c r="O59" i="20"/>
  <c r="N59" i="20"/>
  <c r="M59" i="20"/>
  <c r="G59" i="20"/>
  <c r="F59" i="20"/>
  <c r="E59" i="20"/>
  <c r="D59" i="20"/>
  <c r="C59" i="20"/>
  <c r="B59" i="20"/>
  <c r="T58" i="20"/>
  <c r="R58" i="20"/>
  <c r="Q58" i="20"/>
  <c r="P58" i="20"/>
  <c r="O58" i="20"/>
  <c r="N58" i="20"/>
  <c r="M58" i="20"/>
  <c r="G58" i="20"/>
  <c r="F58" i="20"/>
  <c r="E58" i="20"/>
  <c r="D58" i="20"/>
  <c r="C58" i="20"/>
  <c r="B58" i="20"/>
  <c r="T57" i="20"/>
  <c r="R57" i="20"/>
  <c r="Q57" i="20"/>
  <c r="P57" i="20"/>
  <c r="O57" i="20"/>
  <c r="N57" i="20"/>
  <c r="M57" i="20"/>
  <c r="G57" i="20"/>
  <c r="F57" i="20"/>
  <c r="E57" i="20"/>
  <c r="D57" i="20"/>
  <c r="C57" i="20"/>
  <c r="B57" i="20"/>
  <c r="T56" i="20"/>
  <c r="R56" i="20"/>
  <c r="Q56" i="20"/>
  <c r="P56" i="20"/>
  <c r="O56" i="20"/>
  <c r="N56" i="20"/>
  <c r="M56" i="20"/>
  <c r="G56" i="20"/>
  <c r="F56" i="20"/>
  <c r="E56" i="20"/>
  <c r="D56" i="20"/>
  <c r="C56" i="20"/>
  <c r="B56" i="20"/>
  <c r="T55" i="20"/>
  <c r="R55" i="20"/>
  <c r="Q55" i="20"/>
  <c r="P55" i="20"/>
  <c r="O55" i="20"/>
  <c r="N55" i="20"/>
  <c r="M55" i="20"/>
  <c r="G55" i="20"/>
  <c r="F55" i="20"/>
  <c r="E55" i="20"/>
  <c r="D55" i="20"/>
  <c r="C55" i="20"/>
  <c r="B55" i="20"/>
  <c r="T54" i="20"/>
  <c r="R54" i="20"/>
  <c r="Q54" i="20"/>
  <c r="P54" i="20"/>
  <c r="O54" i="20"/>
  <c r="N54" i="20"/>
  <c r="M54" i="20"/>
  <c r="G54" i="20"/>
  <c r="F54" i="20"/>
  <c r="E54" i="20"/>
  <c r="D54" i="20"/>
  <c r="C54" i="20"/>
  <c r="B54" i="20"/>
  <c r="T53" i="20"/>
  <c r="R53" i="20"/>
  <c r="Q53" i="20"/>
  <c r="P53" i="20"/>
  <c r="O53" i="20"/>
  <c r="N53" i="20"/>
  <c r="M53" i="20"/>
  <c r="G53" i="20"/>
  <c r="F53" i="20"/>
  <c r="E53" i="20"/>
  <c r="D53" i="20"/>
  <c r="C53" i="20"/>
  <c r="B53" i="20"/>
  <c r="T52" i="20"/>
  <c r="R52" i="20"/>
  <c r="Q52" i="20"/>
  <c r="P52" i="20"/>
  <c r="O52" i="20"/>
  <c r="N52" i="20"/>
  <c r="M52" i="20"/>
  <c r="G52" i="20"/>
  <c r="F52" i="20"/>
  <c r="E52" i="20"/>
  <c r="D52" i="20"/>
  <c r="C52" i="20"/>
  <c r="B52" i="20"/>
  <c r="T51" i="20"/>
  <c r="R51" i="20"/>
  <c r="Q51" i="20"/>
  <c r="P51" i="20"/>
  <c r="O51" i="20"/>
  <c r="N51" i="20"/>
  <c r="M51" i="20"/>
  <c r="G51" i="20"/>
  <c r="F51" i="20"/>
  <c r="E51" i="20"/>
  <c r="D51" i="20"/>
  <c r="C51" i="20"/>
  <c r="B51" i="20"/>
  <c r="T50" i="20"/>
  <c r="R50" i="20"/>
  <c r="Q50" i="20"/>
  <c r="P50" i="20"/>
  <c r="O50" i="20"/>
  <c r="N50" i="20"/>
  <c r="M50" i="20"/>
  <c r="G50" i="20"/>
  <c r="F50" i="20"/>
  <c r="E50" i="20"/>
  <c r="D50" i="20"/>
  <c r="C50" i="20"/>
  <c r="B50" i="20"/>
  <c r="T49" i="20"/>
  <c r="R49" i="20"/>
  <c r="Q49" i="20"/>
  <c r="P49" i="20"/>
  <c r="O49" i="20"/>
  <c r="N49" i="20"/>
  <c r="M49" i="20"/>
  <c r="G49" i="20"/>
  <c r="F49" i="20"/>
  <c r="E49" i="20"/>
  <c r="D49" i="20"/>
  <c r="C49" i="20"/>
  <c r="B49" i="20"/>
  <c r="T48" i="20"/>
  <c r="R48" i="20"/>
  <c r="Q48" i="20"/>
  <c r="P48" i="20"/>
  <c r="O48" i="20"/>
  <c r="N48" i="20"/>
  <c r="M48" i="20"/>
  <c r="G48" i="20"/>
  <c r="F48" i="20"/>
  <c r="E48" i="20"/>
  <c r="D48" i="20"/>
  <c r="C48" i="20"/>
  <c r="B48" i="20"/>
  <c r="T47" i="20"/>
  <c r="R47" i="20"/>
  <c r="Q47" i="20"/>
  <c r="P47" i="20"/>
  <c r="O47" i="20"/>
  <c r="N47" i="20"/>
  <c r="M47" i="20"/>
  <c r="G47" i="20"/>
  <c r="F47" i="20"/>
  <c r="E47" i="20"/>
  <c r="D47" i="20"/>
  <c r="C47" i="20"/>
  <c r="B47" i="20"/>
  <c r="T46" i="20"/>
  <c r="R46" i="20"/>
  <c r="Q46" i="20"/>
  <c r="P46" i="20"/>
  <c r="O46" i="20"/>
  <c r="N46" i="20"/>
  <c r="M46" i="20"/>
  <c r="G46" i="20"/>
  <c r="F46" i="20"/>
  <c r="E46" i="20"/>
  <c r="D46" i="20"/>
  <c r="C46" i="20"/>
  <c r="B46" i="20"/>
  <c r="T45" i="20"/>
  <c r="R45" i="20"/>
  <c r="Q45" i="20"/>
  <c r="P45" i="20"/>
  <c r="O45" i="20"/>
  <c r="N45" i="20"/>
  <c r="M45" i="20"/>
  <c r="G45" i="20"/>
  <c r="F45" i="20"/>
  <c r="E45" i="20"/>
  <c r="D45" i="20"/>
  <c r="C45" i="20"/>
  <c r="B45" i="20"/>
  <c r="T44" i="20"/>
  <c r="R44" i="20"/>
  <c r="Q44" i="20"/>
  <c r="P44" i="20"/>
  <c r="O44" i="20"/>
  <c r="N44" i="20"/>
  <c r="M44" i="20"/>
  <c r="G44" i="20"/>
  <c r="F44" i="20"/>
  <c r="E44" i="20"/>
  <c r="D44" i="20"/>
  <c r="C44" i="20"/>
  <c r="B44" i="20"/>
  <c r="T43" i="20"/>
  <c r="R43" i="20"/>
  <c r="Q43" i="20"/>
  <c r="P43" i="20"/>
  <c r="O43" i="20"/>
  <c r="N43" i="20"/>
  <c r="M43" i="20"/>
  <c r="G43" i="20"/>
  <c r="F43" i="20"/>
  <c r="E43" i="20"/>
  <c r="D43" i="20"/>
  <c r="C43" i="20"/>
  <c r="B43" i="20"/>
  <c r="D71" i="17"/>
  <c r="C71" i="17"/>
  <c r="B71" i="17"/>
  <c r="D70" i="17"/>
  <c r="C70" i="17"/>
  <c r="B70" i="17"/>
  <c r="D69" i="17"/>
  <c r="C69" i="17"/>
  <c r="B69" i="17"/>
  <c r="D68" i="17"/>
  <c r="C68" i="17"/>
  <c r="B68" i="17"/>
  <c r="D67" i="17"/>
  <c r="C67" i="17"/>
  <c r="B67" i="17"/>
  <c r="D66" i="17"/>
  <c r="C66" i="17"/>
  <c r="B66" i="17"/>
  <c r="D65" i="17"/>
  <c r="C65" i="17"/>
  <c r="B65" i="17"/>
  <c r="D64" i="17"/>
  <c r="C64" i="17"/>
  <c r="B64" i="17"/>
  <c r="D63" i="17"/>
  <c r="C63" i="17"/>
  <c r="B63" i="17"/>
  <c r="D62" i="17"/>
  <c r="C62" i="17"/>
  <c r="B62" i="17"/>
  <c r="D61" i="17"/>
  <c r="C61" i="17"/>
  <c r="B61" i="17"/>
  <c r="D60" i="17"/>
  <c r="C60" i="17"/>
  <c r="B60" i="17"/>
  <c r="D59" i="17"/>
  <c r="C59" i="17"/>
  <c r="B59" i="17"/>
  <c r="D58" i="17"/>
  <c r="C58" i="17"/>
  <c r="B58" i="17"/>
  <c r="D57" i="17"/>
  <c r="C57" i="17"/>
  <c r="B57" i="17"/>
  <c r="D56" i="17"/>
  <c r="C56" i="17"/>
  <c r="B56" i="17"/>
  <c r="D55" i="17"/>
  <c r="C55" i="17"/>
  <c r="B55" i="17"/>
  <c r="D54" i="17"/>
  <c r="C54" i="17"/>
  <c r="B54" i="17"/>
  <c r="D53" i="17"/>
  <c r="C53" i="17"/>
  <c r="B53" i="17"/>
  <c r="D52" i="17"/>
  <c r="C52" i="17"/>
  <c r="B52" i="17"/>
  <c r="D51" i="17"/>
  <c r="C51" i="17"/>
  <c r="B51" i="17"/>
  <c r="D50" i="17"/>
  <c r="C50" i="17"/>
  <c r="B50" i="17"/>
  <c r="D49" i="17"/>
  <c r="C49" i="17"/>
  <c r="B49" i="17"/>
  <c r="D48" i="17"/>
  <c r="C48" i="17"/>
  <c r="B48" i="17"/>
  <c r="D47" i="17"/>
  <c r="C47" i="17"/>
  <c r="B47" i="17"/>
  <c r="D46" i="17"/>
  <c r="C46" i="17"/>
  <c r="B46" i="17"/>
  <c r="D45" i="17"/>
  <c r="C45" i="17"/>
  <c r="B45" i="17"/>
  <c r="D44" i="17"/>
  <c r="C44" i="17"/>
  <c r="B44" i="17"/>
  <c r="D43" i="17"/>
  <c r="C43" i="17"/>
  <c r="B43" i="17"/>
  <c r="D42" i="17"/>
  <c r="C42" i="17"/>
  <c r="B42" i="17"/>
  <c r="D41" i="17"/>
  <c r="C41" i="17"/>
  <c r="B41" i="17"/>
  <c r="D40" i="17"/>
  <c r="C40" i="17"/>
  <c r="B40" i="17"/>
  <c r="D39" i="17"/>
  <c r="C39" i="17"/>
  <c r="B39" i="17"/>
  <c r="T74" i="7"/>
  <c r="R74" i="7"/>
  <c r="Q74" i="7"/>
  <c r="P74" i="7"/>
  <c r="O74" i="7"/>
  <c r="N74" i="7"/>
  <c r="M74" i="7"/>
  <c r="L74" i="7"/>
  <c r="K74" i="7"/>
  <c r="I74" i="7"/>
  <c r="H74" i="7"/>
  <c r="G74" i="7"/>
  <c r="F74" i="7"/>
  <c r="E74" i="7"/>
  <c r="D74" i="7"/>
  <c r="C74" i="7"/>
  <c r="B74" i="7"/>
  <c r="T73" i="7"/>
  <c r="R73" i="7"/>
  <c r="Q73" i="7"/>
  <c r="P73" i="7"/>
  <c r="O73" i="7"/>
  <c r="N73" i="7"/>
  <c r="M73" i="7"/>
  <c r="L73" i="7"/>
  <c r="K73" i="7"/>
  <c r="I73" i="7"/>
  <c r="H73" i="7"/>
  <c r="G73" i="7"/>
  <c r="F73" i="7"/>
  <c r="E73" i="7"/>
  <c r="D73" i="7"/>
  <c r="C73" i="7"/>
  <c r="B73" i="7"/>
  <c r="T72" i="7"/>
  <c r="R72" i="7"/>
  <c r="Q72" i="7"/>
  <c r="P72" i="7"/>
  <c r="O72" i="7"/>
  <c r="N72" i="7"/>
  <c r="M72" i="7"/>
  <c r="L72" i="7"/>
  <c r="K72" i="7"/>
  <c r="I72" i="7"/>
  <c r="H72" i="7"/>
  <c r="G72" i="7"/>
  <c r="F72" i="7"/>
  <c r="E72" i="7"/>
  <c r="D72" i="7"/>
  <c r="C72" i="7"/>
  <c r="B72" i="7"/>
  <c r="T71" i="7"/>
  <c r="R71" i="7"/>
  <c r="Q71" i="7"/>
  <c r="P71" i="7"/>
  <c r="O71" i="7"/>
  <c r="N71" i="7"/>
  <c r="M71" i="7"/>
  <c r="L71" i="7"/>
  <c r="K71" i="7"/>
  <c r="I71" i="7"/>
  <c r="H71" i="7"/>
  <c r="G71" i="7"/>
  <c r="F71" i="7"/>
  <c r="E71" i="7"/>
  <c r="D71" i="7"/>
  <c r="C71" i="7"/>
  <c r="B71" i="7"/>
  <c r="T70" i="7"/>
  <c r="R70" i="7"/>
  <c r="Q70" i="7"/>
  <c r="P70" i="7"/>
  <c r="O70" i="7"/>
  <c r="N70" i="7"/>
  <c r="M70" i="7"/>
  <c r="L70" i="7"/>
  <c r="K70" i="7"/>
  <c r="I70" i="7"/>
  <c r="H70" i="7"/>
  <c r="G70" i="7"/>
  <c r="F70" i="7"/>
  <c r="E70" i="7"/>
  <c r="D70" i="7"/>
  <c r="C70" i="7"/>
  <c r="B70" i="7"/>
  <c r="T69" i="7"/>
  <c r="R69" i="7"/>
  <c r="Q69" i="7"/>
  <c r="P69" i="7"/>
  <c r="O69" i="7"/>
  <c r="N69" i="7"/>
  <c r="M69" i="7"/>
  <c r="L69" i="7"/>
  <c r="K69" i="7"/>
  <c r="I69" i="7"/>
  <c r="H69" i="7"/>
  <c r="G69" i="7"/>
  <c r="F69" i="7"/>
  <c r="E69" i="7"/>
  <c r="D69" i="7"/>
  <c r="C69" i="7"/>
  <c r="B69" i="7"/>
  <c r="T68" i="7"/>
  <c r="R68" i="7"/>
  <c r="Q68" i="7"/>
  <c r="P68" i="7"/>
  <c r="O68" i="7"/>
  <c r="N68" i="7"/>
  <c r="M68" i="7"/>
  <c r="L68" i="7"/>
  <c r="K68" i="7"/>
  <c r="I68" i="7"/>
  <c r="H68" i="7"/>
  <c r="G68" i="7"/>
  <c r="F68" i="7"/>
  <c r="E68" i="7"/>
  <c r="D68" i="7"/>
  <c r="C68" i="7"/>
  <c r="B68" i="7"/>
  <c r="T67" i="7"/>
  <c r="R67" i="7"/>
  <c r="Q67" i="7"/>
  <c r="P67" i="7"/>
  <c r="O67" i="7"/>
  <c r="N67" i="7"/>
  <c r="M67" i="7"/>
  <c r="L67" i="7"/>
  <c r="K67" i="7"/>
  <c r="I67" i="7"/>
  <c r="H67" i="7"/>
  <c r="G67" i="7"/>
  <c r="F67" i="7"/>
  <c r="E67" i="7"/>
  <c r="D67" i="7"/>
  <c r="C67" i="7"/>
  <c r="B67" i="7"/>
  <c r="T66" i="7"/>
  <c r="R66" i="7"/>
  <c r="Q66" i="7"/>
  <c r="P66" i="7"/>
  <c r="O66" i="7"/>
  <c r="N66" i="7"/>
  <c r="M66" i="7"/>
  <c r="L66" i="7"/>
  <c r="K66" i="7"/>
  <c r="I66" i="7"/>
  <c r="H66" i="7"/>
  <c r="G66" i="7"/>
  <c r="F66" i="7"/>
  <c r="E66" i="7"/>
  <c r="D66" i="7"/>
  <c r="C66" i="7"/>
  <c r="B66" i="7"/>
  <c r="T65" i="7"/>
  <c r="R65" i="7"/>
  <c r="Q65" i="7"/>
  <c r="P65" i="7"/>
  <c r="O65" i="7"/>
  <c r="N65" i="7"/>
  <c r="M65" i="7"/>
  <c r="L65" i="7"/>
  <c r="K65" i="7"/>
  <c r="I65" i="7"/>
  <c r="H65" i="7"/>
  <c r="G65" i="7"/>
  <c r="F65" i="7"/>
  <c r="E65" i="7"/>
  <c r="D65" i="7"/>
  <c r="C65" i="7"/>
  <c r="B65" i="7"/>
  <c r="T64" i="7"/>
  <c r="R64" i="7"/>
  <c r="Q64" i="7"/>
  <c r="P64" i="7"/>
  <c r="O64" i="7"/>
  <c r="N64" i="7"/>
  <c r="M64" i="7"/>
  <c r="L64" i="7"/>
  <c r="K64" i="7"/>
  <c r="I64" i="7"/>
  <c r="H64" i="7"/>
  <c r="G64" i="7"/>
  <c r="F64" i="7"/>
  <c r="E64" i="7"/>
  <c r="D64" i="7"/>
  <c r="C64" i="7"/>
  <c r="B64" i="7"/>
  <c r="T63" i="7"/>
  <c r="R63" i="7"/>
  <c r="Q63" i="7"/>
  <c r="P63" i="7"/>
  <c r="O63" i="7"/>
  <c r="N63" i="7"/>
  <c r="M63" i="7"/>
  <c r="L63" i="7"/>
  <c r="K63" i="7"/>
  <c r="I63" i="7"/>
  <c r="H63" i="7"/>
  <c r="G63" i="7"/>
  <c r="F63" i="7"/>
  <c r="E63" i="7"/>
  <c r="D63" i="7"/>
  <c r="C63" i="7"/>
  <c r="B63" i="7"/>
  <c r="T62" i="7"/>
  <c r="R62" i="7"/>
  <c r="Q62" i="7"/>
  <c r="P62" i="7"/>
  <c r="O62" i="7"/>
  <c r="N62" i="7"/>
  <c r="M62" i="7"/>
  <c r="L62" i="7"/>
  <c r="K62" i="7"/>
  <c r="I62" i="7"/>
  <c r="H62" i="7"/>
  <c r="G62" i="7"/>
  <c r="F62" i="7"/>
  <c r="E62" i="7"/>
  <c r="D62" i="7"/>
  <c r="C62" i="7"/>
  <c r="B62" i="7"/>
  <c r="T61" i="7"/>
  <c r="R61" i="7"/>
  <c r="Q61" i="7"/>
  <c r="P61" i="7"/>
  <c r="O61" i="7"/>
  <c r="N61" i="7"/>
  <c r="M61" i="7"/>
  <c r="L61" i="7"/>
  <c r="K61" i="7"/>
  <c r="I61" i="7"/>
  <c r="H61" i="7"/>
  <c r="G61" i="7"/>
  <c r="F61" i="7"/>
  <c r="E61" i="7"/>
  <c r="D61" i="7"/>
  <c r="C61" i="7"/>
  <c r="B61" i="7"/>
  <c r="T60" i="7"/>
  <c r="R60" i="7"/>
  <c r="Q60" i="7"/>
  <c r="P60" i="7"/>
  <c r="O60" i="7"/>
  <c r="N60" i="7"/>
  <c r="M60" i="7"/>
  <c r="L60" i="7"/>
  <c r="K60" i="7"/>
  <c r="I60" i="7"/>
  <c r="H60" i="7"/>
  <c r="G60" i="7"/>
  <c r="F60" i="7"/>
  <c r="E60" i="7"/>
  <c r="D60" i="7"/>
  <c r="C60" i="7"/>
  <c r="B60" i="7"/>
  <c r="T59" i="7"/>
  <c r="R59" i="7"/>
  <c r="Q59" i="7"/>
  <c r="P59" i="7"/>
  <c r="O59" i="7"/>
  <c r="N59" i="7"/>
  <c r="M59" i="7"/>
  <c r="L59" i="7"/>
  <c r="K59" i="7"/>
  <c r="I59" i="7"/>
  <c r="H59" i="7"/>
  <c r="G59" i="7"/>
  <c r="F59" i="7"/>
  <c r="E59" i="7"/>
  <c r="D59" i="7"/>
  <c r="C59" i="7"/>
  <c r="B59" i="7"/>
  <c r="T58" i="7"/>
  <c r="R58" i="7"/>
  <c r="Q58" i="7"/>
  <c r="P58" i="7"/>
  <c r="O58" i="7"/>
  <c r="N58" i="7"/>
  <c r="M58" i="7"/>
  <c r="L58" i="7"/>
  <c r="K58" i="7"/>
  <c r="I58" i="7"/>
  <c r="H58" i="7"/>
  <c r="G58" i="7"/>
  <c r="F58" i="7"/>
  <c r="E58" i="7"/>
  <c r="D58" i="7"/>
  <c r="C58" i="7"/>
  <c r="B58" i="7"/>
  <c r="T57" i="7"/>
  <c r="R57" i="7"/>
  <c r="Q57" i="7"/>
  <c r="P57" i="7"/>
  <c r="O57" i="7"/>
  <c r="N57" i="7"/>
  <c r="M57" i="7"/>
  <c r="L57" i="7"/>
  <c r="K57" i="7"/>
  <c r="I57" i="7"/>
  <c r="H57" i="7"/>
  <c r="G57" i="7"/>
  <c r="F57" i="7"/>
  <c r="E57" i="7"/>
  <c r="D57" i="7"/>
  <c r="C57" i="7"/>
  <c r="B57" i="7"/>
  <c r="T56" i="7"/>
  <c r="R56" i="7"/>
  <c r="Q56" i="7"/>
  <c r="P56" i="7"/>
  <c r="O56" i="7"/>
  <c r="N56" i="7"/>
  <c r="M56" i="7"/>
  <c r="L56" i="7"/>
  <c r="K56" i="7"/>
  <c r="I56" i="7"/>
  <c r="H56" i="7"/>
  <c r="G56" i="7"/>
  <c r="F56" i="7"/>
  <c r="E56" i="7"/>
  <c r="D56" i="7"/>
  <c r="C56" i="7"/>
  <c r="B56" i="7"/>
  <c r="T55" i="7"/>
  <c r="R55" i="7"/>
  <c r="Q55" i="7"/>
  <c r="P55" i="7"/>
  <c r="O55" i="7"/>
  <c r="N55" i="7"/>
  <c r="M55" i="7"/>
  <c r="L55" i="7"/>
  <c r="K55" i="7"/>
  <c r="I55" i="7"/>
  <c r="H55" i="7"/>
  <c r="G55" i="7"/>
  <c r="F55" i="7"/>
  <c r="E55" i="7"/>
  <c r="D55" i="7"/>
  <c r="C55" i="7"/>
  <c r="B55" i="7"/>
  <c r="T54" i="7"/>
  <c r="R54" i="7"/>
  <c r="Q54" i="7"/>
  <c r="P54" i="7"/>
  <c r="O54" i="7"/>
  <c r="N54" i="7"/>
  <c r="M54" i="7"/>
  <c r="L54" i="7"/>
  <c r="K54" i="7"/>
  <c r="I54" i="7"/>
  <c r="H54" i="7"/>
  <c r="G54" i="7"/>
  <c r="F54" i="7"/>
  <c r="E54" i="7"/>
  <c r="D54" i="7"/>
  <c r="C54" i="7"/>
  <c r="B54" i="7"/>
  <c r="T53" i="7"/>
  <c r="R53" i="7"/>
  <c r="Q53" i="7"/>
  <c r="P53" i="7"/>
  <c r="O53" i="7"/>
  <c r="N53" i="7"/>
  <c r="M53" i="7"/>
  <c r="L53" i="7"/>
  <c r="K53" i="7"/>
  <c r="I53" i="7"/>
  <c r="H53" i="7"/>
  <c r="G53" i="7"/>
  <c r="F53" i="7"/>
  <c r="E53" i="7"/>
  <c r="D53" i="7"/>
  <c r="C53" i="7"/>
  <c r="B53" i="7"/>
  <c r="T52" i="7"/>
  <c r="R52" i="7"/>
  <c r="Q52" i="7"/>
  <c r="P52" i="7"/>
  <c r="O52" i="7"/>
  <c r="N52" i="7"/>
  <c r="M52" i="7"/>
  <c r="L52" i="7"/>
  <c r="K52" i="7"/>
  <c r="I52" i="7"/>
  <c r="H52" i="7"/>
  <c r="G52" i="7"/>
  <c r="F52" i="7"/>
  <c r="E52" i="7"/>
  <c r="D52" i="7"/>
  <c r="C52" i="7"/>
  <c r="B52" i="7"/>
  <c r="T51" i="7"/>
  <c r="R51" i="7"/>
  <c r="Q51" i="7"/>
  <c r="P51" i="7"/>
  <c r="O51" i="7"/>
  <c r="N51" i="7"/>
  <c r="M51" i="7"/>
  <c r="L51" i="7"/>
  <c r="K51" i="7"/>
  <c r="I51" i="7"/>
  <c r="H51" i="7"/>
  <c r="G51" i="7"/>
  <c r="F51" i="7"/>
  <c r="E51" i="7"/>
  <c r="D51" i="7"/>
  <c r="C51" i="7"/>
  <c r="B51" i="7"/>
  <c r="T50" i="7"/>
  <c r="R50" i="7"/>
  <c r="Q50" i="7"/>
  <c r="P50" i="7"/>
  <c r="O50" i="7"/>
  <c r="N50" i="7"/>
  <c r="M50" i="7"/>
  <c r="L50" i="7"/>
  <c r="K50" i="7"/>
  <c r="I50" i="7"/>
  <c r="H50" i="7"/>
  <c r="G50" i="7"/>
  <c r="F50" i="7"/>
  <c r="E50" i="7"/>
  <c r="D50" i="7"/>
  <c r="C50" i="7"/>
  <c r="B50" i="7"/>
  <c r="T49" i="7"/>
  <c r="R49" i="7"/>
  <c r="Q49" i="7"/>
  <c r="P49" i="7"/>
  <c r="O49" i="7"/>
  <c r="N49" i="7"/>
  <c r="M49" i="7"/>
  <c r="L49" i="7"/>
  <c r="K49" i="7"/>
  <c r="I49" i="7"/>
  <c r="H49" i="7"/>
  <c r="G49" i="7"/>
  <c r="F49" i="7"/>
  <c r="E49" i="7"/>
  <c r="D49" i="7"/>
  <c r="C49" i="7"/>
  <c r="B49" i="7"/>
  <c r="T48" i="7"/>
  <c r="R48" i="7"/>
  <c r="Q48" i="7"/>
  <c r="P48" i="7"/>
  <c r="O48" i="7"/>
  <c r="N48" i="7"/>
  <c r="M48" i="7"/>
  <c r="L48" i="7"/>
  <c r="K48" i="7"/>
  <c r="I48" i="7"/>
  <c r="H48" i="7"/>
  <c r="G48" i="7"/>
  <c r="F48" i="7"/>
  <c r="E48" i="7"/>
  <c r="D48" i="7"/>
  <c r="C48" i="7"/>
  <c r="B48" i="7"/>
  <c r="T47" i="7"/>
  <c r="R47" i="7"/>
  <c r="Q47" i="7"/>
  <c r="P47" i="7"/>
  <c r="O47" i="7"/>
  <c r="N47" i="7"/>
  <c r="M47" i="7"/>
  <c r="L47" i="7"/>
  <c r="K47" i="7"/>
  <c r="I47" i="7"/>
  <c r="H47" i="7"/>
  <c r="G47" i="7"/>
  <c r="F47" i="7"/>
  <c r="E47" i="7"/>
  <c r="D47" i="7"/>
  <c r="C47" i="7"/>
  <c r="B47" i="7"/>
  <c r="T46" i="7"/>
  <c r="R46" i="7"/>
  <c r="Q46" i="7"/>
  <c r="P46" i="7"/>
  <c r="O46" i="7"/>
  <c r="N46" i="7"/>
  <c r="M46" i="7"/>
  <c r="L46" i="7"/>
  <c r="K46" i="7"/>
  <c r="I46" i="7"/>
  <c r="H46" i="7"/>
  <c r="G46" i="7"/>
  <c r="F46" i="7"/>
  <c r="E46" i="7"/>
  <c r="D46" i="7"/>
  <c r="C46" i="7"/>
  <c r="B46" i="7"/>
  <c r="T45" i="7"/>
  <c r="R45" i="7"/>
  <c r="Q45" i="7"/>
  <c r="P45" i="7"/>
  <c r="O45" i="7"/>
  <c r="N45" i="7"/>
  <c r="M45" i="7"/>
  <c r="L45" i="7"/>
  <c r="K45" i="7"/>
  <c r="I45" i="7"/>
  <c r="H45" i="7"/>
  <c r="G45" i="7"/>
  <c r="F45" i="7"/>
  <c r="E45" i="7"/>
  <c r="D45" i="7"/>
  <c r="C45" i="7"/>
  <c r="B45" i="7"/>
  <c r="T44" i="7"/>
  <c r="R44" i="7"/>
  <c r="Q44" i="7"/>
  <c r="P44" i="7"/>
  <c r="O44" i="7"/>
  <c r="N44" i="7"/>
  <c r="M44" i="7"/>
  <c r="L44" i="7"/>
  <c r="K44" i="7"/>
  <c r="I44" i="7"/>
  <c r="H44" i="7"/>
  <c r="G44" i="7"/>
  <c r="F44" i="7"/>
  <c r="E44" i="7"/>
  <c r="D44" i="7"/>
  <c r="C44" i="7"/>
  <c r="B44" i="7"/>
  <c r="T43" i="7"/>
  <c r="R43" i="7"/>
  <c r="Q43" i="7"/>
  <c r="P43" i="7"/>
  <c r="O43" i="7"/>
  <c r="N43" i="7"/>
  <c r="M43" i="7"/>
  <c r="L43" i="7"/>
  <c r="K43" i="7"/>
  <c r="I43" i="7"/>
  <c r="H43" i="7"/>
  <c r="G43" i="7"/>
  <c r="F43" i="7"/>
  <c r="E43" i="7"/>
  <c r="D43" i="7"/>
  <c r="C43" i="7"/>
  <c r="B43" i="7"/>
  <c r="T42" i="7"/>
  <c r="R42" i="7"/>
  <c r="I42" i="7"/>
  <c r="Q42" i="7"/>
  <c r="P42" i="7"/>
  <c r="O42" i="7"/>
  <c r="N42" i="7"/>
  <c r="M42" i="7"/>
  <c r="L42" i="7"/>
  <c r="K42" i="7"/>
  <c r="H42" i="7"/>
  <c r="G42" i="7"/>
  <c r="F42" i="7"/>
  <c r="E42" i="7"/>
  <c r="D42" i="7"/>
  <c r="C42" i="7"/>
  <c r="B42" i="7"/>
  <c r="X74" i="16"/>
  <c r="V74" i="16"/>
  <c r="U74" i="16"/>
  <c r="T74" i="16"/>
  <c r="S74" i="16"/>
  <c r="Q74" i="16"/>
  <c r="P74" i="16"/>
  <c r="O74" i="16"/>
  <c r="N74" i="16"/>
  <c r="M74" i="16"/>
  <c r="K74" i="16"/>
  <c r="J74" i="16"/>
  <c r="I74" i="16"/>
  <c r="H74" i="16"/>
  <c r="F74" i="16"/>
  <c r="E74" i="16"/>
  <c r="D74" i="16"/>
  <c r="C74" i="16"/>
  <c r="B74" i="16"/>
  <c r="X73" i="16"/>
  <c r="V73" i="16"/>
  <c r="U73" i="16"/>
  <c r="T73" i="16"/>
  <c r="S73" i="16"/>
  <c r="Q73" i="16"/>
  <c r="P73" i="16"/>
  <c r="O73" i="16"/>
  <c r="N73" i="16"/>
  <c r="M73" i="16"/>
  <c r="K73" i="16"/>
  <c r="J73" i="16"/>
  <c r="I73" i="16"/>
  <c r="H73" i="16"/>
  <c r="F73" i="16"/>
  <c r="E73" i="16"/>
  <c r="D73" i="16"/>
  <c r="C73" i="16"/>
  <c r="B73" i="16"/>
  <c r="X72" i="16"/>
  <c r="V72" i="16"/>
  <c r="U72" i="16"/>
  <c r="T72" i="16"/>
  <c r="S72" i="16"/>
  <c r="Q72" i="16"/>
  <c r="P72" i="16"/>
  <c r="O72" i="16"/>
  <c r="N72" i="16"/>
  <c r="M72" i="16"/>
  <c r="K72" i="16"/>
  <c r="J72" i="16"/>
  <c r="I72" i="16"/>
  <c r="H72" i="16"/>
  <c r="F72" i="16"/>
  <c r="E72" i="16"/>
  <c r="D72" i="16"/>
  <c r="C72" i="16"/>
  <c r="B72" i="16"/>
  <c r="X71" i="16"/>
  <c r="V71" i="16"/>
  <c r="U71" i="16"/>
  <c r="T71" i="16"/>
  <c r="S71" i="16"/>
  <c r="Q71" i="16"/>
  <c r="P71" i="16"/>
  <c r="O71" i="16"/>
  <c r="N71" i="16"/>
  <c r="M71" i="16"/>
  <c r="K71" i="16"/>
  <c r="J71" i="16"/>
  <c r="I71" i="16"/>
  <c r="H71" i="16"/>
  <c r="F71" i="16"/>
  <c r="E71" i="16"/>
  <c r="D71" i="16"/>
  <c r="C71" i="16"/>
  <c r="B71" i="16"/>
  <c r="X70" i="16"/>
  <c r="V70" i="16"/>
  <c r="U70" i="16"/>
  <c r="T70" i="16"/>
  <c r="S70" i="16"/>
  <c r="Q70" i="16"/>
  <c r="P70" i="16"/>
  <c r="O70" i="16"/>
  <c r="N70" i="16"/>
  <c r="M70" i="16"/>
  <c r="K70" i="16"/>
  <c r="J70" i="16"/>
  <c r="I70" i="16"/>
  <c r="H70" i="16"/>
  <c r="F70" i="16"/>
  <c r="E70" i="16"/>
  <c r="D70" i="16"/>
  <c r="C70" i="16"/>
  <c r="B70" i="16"/>
  <c r="X69" i="16"/>
  <c r="V69" i="16"/>
  <c r="U69" i="16"/>
  <c r="T69" i="16"/>
  <c r="S69" i="16"/>
  <c r="Q69" i="16"/>
  <c r="P69" i="16"/>
  <c r="O69" i="16"/>
  <c r="N69" i="16"/>
  <c r="M69" i="16"/>
  <c r="K69" i="16"/>
  <c r="J69" i="16"/>
  <c r="I69" i="16"/>
  <c r="H69" i="16"/>
  <c r="F69" i="16"/>
  <c r="E69" i="16"/>
  <c r="D69" i="16"/>
  <c r="C69" i="16"/>
  <c r="B69" i="16"/>
  <c r="X68" i="16"/>
  <c r="V68" i="16"/>
  <c r="U68" i="16"/>
  <c r="T68" i="16"/>
  <c r="S68" i="16"/>
  <c r="Q68" i="16"/>
  <c r="P68" i="16"/>
  <c r="O68" i="16"/>
  <c r="N68" i="16"/>
  <c r="M68" i="16"/>
  <c r="K68" i="16"/>
  <c r="J68" i="16"/>
  <c r="I68" i="16"/>
  <c r="H68" i="16"/>
  <c r="F68" i="16"/>
  <c r="E68" i="16"/>
  <c r="D68" i="16"/>
  <c r="C68" i="16"/>
  <c r="B68" i="16"/>
  <c r="X67" i="16"/>
  <c r="V67" i="16"/>
  <c r="U67" i="16"/>
  <c r="T67" i="16"/>
  <c r="S67" i="16"/>
  <c r="Q67" i="16"/>
  <c r="P67" i="16"/>
  <c r="O67" i="16"/>
  <c r="N67" i="16"/>
  <c r="M67" i="16"/>
  <c r="K67" i="16"/>
  <c r="J67" i="16"/>
  <c r="I67" i="16"/>
  <c r="H67" i="16"/>
  <c r="F67" i="16"/>
  <c r="E67" i="16"/>
  <c r="D67" i="16"/>
  <c r="C67" i="16"/>
  <c r="B67" i="16"/>
  <c r="X66" i="16"/>
  <c r="V66" i="16"/>
  <c r="U66" i="16"/>
  <c r="T66" i="16"/>
  <c r="S66" i="16"/>
  <c r="Q66" i="16"/>
  <c r="P66" i="16"/>
  <c r="O66" i="16"/>
  <c r="N66" i="16"/>
  <c r="M66" i="16"/>
  <c r="K66" i="16"/>
  <c r="J66" i="16"/>
  <c r="I66" i="16"/>
  <c r="H66" i="16"/>
  <c r="F66" i="16"/>
  <c r="E66" i="16"/>
  <c r="D66" i="16"/>
  <c r="C66" i="16"/>
  <c r="B66" i="16"/>
  <c r="X65" i="16"/>
  <c r="V65" i="16"/>
  <c r="U65" i="16"/>
  <c r="T65" i="16"/>
  <c r="S65" i="16"/>
  <c r="Q65" i="16"/>
  <c r="P65" i="16"/>
  <c r="O65" i="16"/>
  <c r="N65" i="16"/>
  <c r="M65" i="16"/>
  <c r="K65" i="16"/>
  <c r="J65" i="16"/>
  <c r="I65" i="16"/>
  <c r="H65" i="16"/>
  <c r="F65" i="16"/>
  <c r="E65" i="16"/>
  <c r="D65" i="16"/>
  <c r="C65" i="16"/>
  <c r="B65" i="16"/>
  <c r="X64" i="16"/>
  <c r="V64" i="16"/>
  <c r="U64" i="16"/>
  <c r="T64" i="16"/>
  <c r="S64" i="16"/>
  <c r="Q64" i="16"/>
  <c r="P64" i="16"/>
  <c r="O64" i="16"/>
  <c r="N64" i="16"/>
  <c r="M64" i="16"/>
  <c r="K64" i="16"/>
  <c r="J64" i="16"/>
  <c r="I64" i="16"/>
  <c r="H64" i="16"/>
  <c r="F64" i="16"/>
  <c r="E64" i="16"/>
  <c r="D64" i="16"/>
  <c r="C64" i="16"/>
  <c r="B64" i="16"/>
  <c r="X63" i="16"/>
  <c r="V63" i="16"/>
  <c r="U63" i="16"/>
  <c r="T63" i="16"/>
  <c r="S63" i="16"/>
  <c r="Q63" i="16"/>
  <c r="P63" i="16"/>
  <c r="O63" i="16"/>
  <c r="N63" i="16"/>
  <c r="M63" i="16"/>
  <c r="K63" i="16"/>
  <c r="J63" i="16"/>
  <c r="I63" i="16"/>
  <c r="H63" i="16"/>
  <c r="F63" i="16"/>
  <c r="E63" i="16"/>
  <c r="D63" i="16"/>
  <c r="C63" i="16"/>
  <c r="B63" i="16"/>
  <c r="X62" i="16"/>
  <c r="V62" i="16"/>
  <c r="U62" i="16"/>
  <c r="T62" i="16"/>
  <c r="S62" i="16"/>
  <c r="Q62" i="16"/>
  <c r="P62" i="16"/>
  <c r="O62" i="16"/>
  <c r="N62" i="16"/>
  <c r="M62" i="16"/>
  <c r="K62" i="16"/>
  <c r="J62" i="16"/>
  <c r="I62" i="16"/>
  <c r="H62" i="16"/>
  <c r="F62" i="16"/>
  <c r="E62" i="16"/>
  <c r="D62" i="16"/>
  <c r="C62" i="16"/>
  <c r="B62" i="16"/>
  <c r="X61" i="16"/>
  <c r="V61" i="16"/>
  <c r="U61" i="16"/>
  <c r="T61" i="16"/>
  <c r="S61" i="16"/>
  <c r="Q61" i="16"/>
  <c r="P61" i="16"/>
  <c r="O61" i="16"/>
  <c r="N61" i="16"/>
  <c r="M61" i="16"/>
  <c r="K61" i="16"/>
  <c r="J61" i="16"/>
  <c r="I61" i="16"/>
  <c r="H61" i="16"/>
  <c r="F61" i="16"/>
  <c r="E61" i="16"/>
  <c r="D61" i="16"/>
  <c r="C61" i="16"/>
  <c r="B61" i="16"/>
  <c r="X60" i="16"/>
  <c r="V60" i="16"/>
  <c r="U60" i="16"/>
  <c r="T60" i="16"/>
  <c r="S60" i="16"/>
  <c r="Q60" i="16"/>
  <c r="P60" i="16"/>
  <c r="O60" i="16"/>
  <c r="N60" i="16"/>
  <c r="M60" i="16"/>
  <c r="K60" i="16"/>
  <c r="J60" i="16"/>
  <c r="I60" i="16"/>
  <c r="H60" i="16"/>
  <c r="F60" i="16"/>
  <c r="E60" i="16"/>
  <c r="D60" i="16"/>
  <c r="C60" i="16"/>
  <c r="B60" i="16"/>
  <c r="X59" i="16"/>
  <c r="V59" i="16"/>
  <c r="U59" i="16"/>
  <c r="T59" i="16"/>
  <c r="S59" i="16"/>
  <c r="Q59" i="16"/>
  <c r="P59" i="16"/>
  <c r="O59" i="16"/>
  <c r="N59" i="16"/>
  <c r="M59" i="16"/>
  <c r="K59" i="16"/>
  <c r="J59" i="16"/>
  <c r="I59" i="16"/>
  <c r="H59" i="16"/>
  <c r="F59" i="16"/>
  <c r="E59" i="16"/>
  <c r="D59" i="16"/>
  <c r="C59" i="16"/>
  <c r="B59" i="16"/>
  <c r="X58" i="16"/>
  <c r="V58" i="16"/>
  <c r="U58" i="16"/>
  <c r="T58" i="16"/>
  <c r="S58" i="16"/>
  <c r="Q58" i="16"/>
  <c r="P58" i="16"/>
  <c r="O58" i="16"/>
  <c r="N58" i="16"/>
  <c r="M58" i="16"/>
  <c r="K58" i="16"/>
  <c r="J58" i="16"/>
  <c r="I58" i="16"/>
  <c r="H58" i="16"/>
  <c r="F58" i="16"/>
  <c r="E58" i="16"/>
  <c r="D58" i="16"/>
  <c r="C58" i="16"/>
  <c r="B58" i="16"/>
  <c r="X57" i="16"/>
  <c r="V57" i="16"/>
  <c r="U57" i="16"/>
  <c r="T57" i="16"/>
  <c r="S57" i="16"/>
  <c r="Q57" i="16"/>
  <c r="P57" i="16"/>
  <c r="O57" i="16"/>
  <c r="N57" i="16"/>
  <c r="M57" i="16"/>
  <c r="K57" i="16"/>
  <c r="J57" i="16"/>
  <c r="I57" i="16"/>
  <c r="H57" i="16"/>
  <c r="F57" i="16"/>
  <c r="E57" i="16"/>
  <c r="D57" i="16"/>
  <c r="C57" i="16"/>
  <c r="B57" i="16"/>
  <c r="X56" i="16"/>
  <c r="V56" i="16"/>
  <c r="U56" i="16"/>
  <c r="T56" i="16"/>
  <c r="S56" i="16"/>
  <c r="Q56" i="16"/>
  <c r="P56" i="16"/>
  <c r="O56" i="16"/>
  <c r="N56" i="16"/>
  <c r="M56" i="16"/>
  <c r="K56" i="16"/>
  <c r="J56" i="16"/>
  <c r="I56" i="16"/>
  <c r="H56" i="16"/>
  <c r="F56" i="16"/>
  <c r="E56" i="16"/>
  <c r="D56" i="16"/>
  <c r="C56" i="16"/>
  <c r="B56" i="16"/>
  <c r="X55" i="16"/>
  <c r="V55" i="16"/>
  <c r="U55" i="16"/>
  <c r="T55" i="16"/>
  <c r="S55" i="16"/>
  <c r="Q55" i="16"/>
  <c r="P55" i="16"/>
  <c r="O55" i="16"/>
  <c r="N55" i="16"/>
  <c r="M55" i="16"/>
  <c r="K55" i="16"/>
  <c r="J55" i="16"/>
  <c r="I55" i="16"/>
  <c r="H55" i="16"/>
  <c r="F55" i="16"/>
  <c r="E55" i="16"/>
  <c r="D55" i="16"/>
  <c r="C55" i="16"/>
  <c r="B55" i="16"/>
  <c r="X54" i="16"/>
  <c r="V54" i="16"/>
  <c r="U54" i="16"/>
  <c r="T54" i="16"/>
  <c r="S54" i="16"/>
  <c r="Q54" i="16"/>
  <c r="P54" i="16"/>
  <c r="O54" i="16"/>
  <c r="N54" i="16"/>
  <c r="M54" i="16"/>
  <c r="K54" i="16"/>
  <c r="J54" i="16"/>
  <c r="I54" i="16"/>
  <c r="H54" i="16"/>
  <c r="F54" i="16"/>
  <c r="E54" i="16"/>
  <c r="D54" i="16"/>
  <c r="C54" i="16"/>
  <c r="B54" i="16"/>
  <c r="X53" i="16"/>
  <c r="V53" i="16"/>
  <c r="U53" i="16"/>
  <c r="T53" i="16"/>
  <c r="S53" i="16"/>
  <c r="Q53" i="16"/>
  <c r="P53" i="16"/>
  <c r="O53" i="16"/>
  <c r="N53" i="16"/>
  <c r="M53" i="16"/>
  <c r="K53" i="16"/>
  <c r="J53" i="16"/>
  <c r="I53" i="16"/>
  <c r="H53" i="16"/>
  <c r="F53" i="16"/>
  <c r="E53" i="16"/>
  <c r="D53" i="16"/>
  <c r="C53" i="16"/>
  <c r="B53" i="16"/>
  <c r="X52" i="16"/>
  <c r="V52" i="16"/>
  <c r="U52" i="16"/>
  <c r="T52" i="16"/>
  <c r="S52" i="16"/>
  <c r="Q52" i="16"/>
  <c r="P52" i="16"/>
  <c r="O52" i="16"/>
  <c r="N52" i="16"/>
  <c r="M52" i="16"/>
  <c r="K52" i="16"/>
  <c r="J52" i="16"/>
  <c r="I52" i="16"/>
  <c r="H52" i="16"/>
  <c r="F52" i="16"/>
  <c r="E52" i="16"/>
  <c r="D52" i="16"/>
  <c r="C52" i="16"/>
  <c r="B52" i="16"/>
  <c r="X51" i="16"/>
  <c r="V51" i="16"/>
  <c r="U51" i="16"/>
  <c r="T51" i="16"/>
  <c r="S51" i="16"/>
  <c r="Q51" i="16"/>
  <c r="P51" i="16"/>
  <c r="O51" i="16"/>
  <c r="N51" i="16"/>
  <c r="M51" i="16"/>
  <c r="K51" i="16"/>
  <c r="J51" i="16"/>
  <c r="I51" i="16"/>
  <c r="H51" i="16"/>
  <c r="F51" i="16"/>
  <c r="E51" i="16"/>
  <c r="D51" i="16"/>
  <c r="C51" i="16"/>
  <c r="B51" i="16"/>
  <c r="X50" i="16"/>
  <c r="V50" i="16"/>
  <c r="U50" i="16"/>
  <c r="T50" i="16"/>
  <c r="S50" i="16"/>
  <c r="Q50" i="16"/>
  <c r="P50" i="16"/>
  <c r="O50" i="16"/>
  <c r="N50" i="16"/>
  <c r="M50" i="16"/>
  <c r="K50" i="16"/>
  <c r="J50" i="16"/>
  <c r="I50" i="16"/>
  <c r="H50" i="16"/>
  <c r="F50" i="16"/>
  <c r="E50" i="16"/>
  <c r="D50" i="16"/>
  <c r="C50" i="16"/>
  <c r="B50" i="16"/>
  <c r="X49" i="16"/>
  <c r="V49" i="16"/>
  <c r="U49" i="16"/>
  <c r="T49" i="16"/>
  <c r="S49" i="16"/>
  <c r="Q49" i="16"/>
  <c r="P49" i="16"/>
  <c r="O49" i="16"/>
  <c r="N49" i="16"/>
  <c r="M49" i="16"/>
  <c r="K49" i="16"/>
  <c r="J49" i="16"/>
  <c r="I49" i="16"/>
  <c r="H49" i="16"/>
  <c r="F49" i="16"/>
  <c r="E49" i="16"/>
  <c r="D49" i="16"/>
  <c r="C49" i="16"/>
  <c r="B49" i="16"/>
  <c r="X48" i="16"/>
  <c r="V48" i="16"/>
  <c r="U48" i="16"/>
  <c r="T48" i="16"/>
  <c r="S48" i="16"/>
  <c r="Q48" i="16"/>
  <c r="P48" i="16"/>
  <c r="O48" i="16"/>
  <c r="N48" i="16"/>
  <c r="M48" i="16"/>
  <c r="K48" i="16"/>
  <c r="J48" i="16"/>
  <c r="I48" i="16"/>
  <c r="H48" i="16"/>
  <c r="F48" i="16"/>
  <c r="E48" i="16"/>
  <c r="D48" i="16"/>
  <c r="C48" i="16"/>
  <c r="B48" i="16"/>
  <c r="X47" i="16"/>
  <c r="V47" i="16"/>
  <c r="U47" i="16"/>
  <c r="T47" i="16"/>
  <c r="S47" i="16"/>
  <c r="Q47" i="16"/>
  <c r="P47" i="16"/>
  <c r="O47" i="16"/>
  <c r="N47" i="16"/>
  <c r="M47" i="16"/>
  <c r="K47" i="16"/>
  <c r="J47" i="16"/>
  <c r="I47" i="16"/>
  <c r="H47" i="16"/>
  <c r="F47" i="16"/>
  <c r="E47" i="16"/>
  <c r="D47" i="16"/>
  <c r="C47" i="16"/>
  <c r="B47" i="16"/>
  <c r="X46" i="16"/>
  <c r="V46" i="16"/>
  <c r="U46" i="16"/>
  <c r="T46" i="16"/>
  <c r="S46" i="16"/>
  <c r="Q46" i="16"/>
  <c r="P46" i="16"/>
  <c r="O46" i="16"/>
  <c r="N46" i="16"/>
  <c r="M46" i="16"/>
  <c r="K46" i="16"/>
  <c r="J46" i="16"/>
  <c r="I46" i="16"/>
  <c r="H46" i="16"/>
  <c r="F46" i="16"/>
  <c r="E46" i="16"/>
  <c r="D46" i="16"/>
  <c r="C46" i="16"/>
  <c r="B46" i="16"/>
  <c r="X45" i="16"/>
  <c r="V45" i="16"/>
  <c r="U45" i="16"/>
  <c r="T45" i="16"/>
  <c r="S45" i="16"/>
  <c r="Q45" i="16"/>
  <c r="P45" i="16"/>
  <c r="O45" i="16"/>
  <c r="N45" i="16"/>
  <c r="M45" i="16"/>
  <c r="K45" i="16"/>
  <c r="J45" i="16"/>
  <c r="I45" i="16"/>
  <c r="H45" i="16"/>
  <c r="F45" i="16"/>
  <c r="E45" i="16"/>
  <c r="D45" i="16"/>
  <c r="C45" i="16"/>
  <c r="B45" i="16"/>
  <c r="X44" i="16"/>
  <c r="V44" i="16"/>
  <c r="U44" i="16"/>
  <c r="T44" i="16"/>
  <c r="S44" i="16"/>
  <c r="Q44" i="16"/>
  <c r="P44" i="16"/>
  <c r="O44" i="16"/>
  <c r="N44" i="16"/>
  <c r="M44" i="16"/>
  <c r="K44" i="16"/>
  <c r="J44" i="16"/>
  <c r="I44" i="16"/>
  <c r="H44" i="16"/>
  <c r="F44" i="16"/>
  <c r="E44" i="16"/>
  <c r="D44" i="16"/>
  <c r="C44" i="16"/>
  <c r="B44" i="16"/>
  <c r="X43" i="16"/>
  <c r="V43" i="16"/>
  <c r="U43" i="16"/>
  <c r="T43" i="16"/>
  <c r="S43" i="16"/>
  <c r="Q43" i="16"/>
  <c r="P43" i="16"/>
  <c r="O43" i="16"/>
  <c r="N43" i="16"/>
  <c r="M43" i="16"/>
  <c r="K43" i="16"/>
  <c r="J43" i="16"/>
  <c r="I43" i="16"/>
  <c r="H43" i="16"/>
  <c r="F43" i="16"/>
  <c r="E43" i="16"/>
  <c r="D43" i="16"/>
  <c r="C43" i="16"/>
  <c r="B43" i="16"/>
  <c r="X42" i="16"/>
  <c r="V42" i="16"/>
  <c r="Q42" i="16"/>
  <c r="K42" i="16"/>
  <c r="F42" i="16"/>
  <c r="U42" i="16"/>
  <c r="T42" i="16"/>
  <c r="S42" i="16"/>
  <c r="P42" i="16"/>
  <c r="O42" i="16"/>
  <c r="N42" i="16"/>
  <c r="M42" i="16"/>
  <c r="J42" i="16"/>
  <c r="I42" i="16"/>
  <c r="H42" i="16"/>
  <c r="E42" i="16"/>
  <c r="D42" i="16"/>
  <c r="C42" i="16"/>
  <c r="B42" i="16"/>
  <c r="D72" i="25"/>
  <c r="C72" i="25"/>
  <c r="B72" i="25"/>
  <c r="D71" i="25"/>
  <c r="C71" i="25"/>
  <c r="B71" i="25"/>
  <c r="D70" i="25"/>
  <c r="C70" i="25"/>
  <c r="B70" i="25"/>
  <c r="D69" i="25"/>
  <c r="C69" i="25"/>
  <c r="B69" i="25"/>
  <c r="D68" i="25"/>
  <c r="C68" i="25"/>
  <c r="B68" i="25"/>
  <c r="D67" i="25"/>
  <c r="C67" i="25"/>
  <c r="B67" i="25"/>
  <c r="D66" i="25"/>
  <c r="C66" i="25"/>
  <c r="B66" i="25"/>
  <c r="D65" i="25"/>
  <c r="C65" i="25"/>
  <c r="B65" i="25"/>
  <c r="D64" i="25"/>
  <c r="C64" i="25"/>
  <c r="B64" i="25"/>
  <c r="D63" i="25"/>
  <c r="C63" i="25"/>
  <c r="B63" i="25"/>
  <c r="D62" i="25"/>
  <c r="C62" i="25"/>
  <c r="B62" i="25"/>
  <c r="D61" i="25"/>
  <c r="C61" i="25"/>
  <c r="B61" i="25"/>
  <c r="D60" i="25"/>
  <c r="C60" i="25"/>
  <c r="B60" i="25"/>
  <c r="D59" i="25"/>
  <c r="C59" i="25"/>
  <c r="B59" i="25"/>
  <c r="D58" i="25"/>
  <c r="C58" i="25"/>
  <c r="B58" i="25"/>
  <c r="D57" i="25"/>
  <c r="C57" i="25"/>
  <c r="B57" i="25"/>
  <c r="D56" i="25"/>
  <c r="C56" i="25"/>
  <c r="B56" i="25"/>
  <c r="D55" i="25"/>
  <c r="C55" i="25"/>
  <c r="B55" i="25"/>
  <c r="D54" i="25"/>
  <c r="C54" i="25"/>
  <c r="B54" i="25"/>
  <c r="D53" i="25"/>
  <c r="C53" i="25"/>
  <c r="B53" i="25"/>
  <c r="D52" i="25"/>
  <c r="C52" i="25"/>
  <c r="B52" i="25"/>
  <c r="D51" i="25"/>
  <c r="C51" i="25"/>
  <c r="B51" i="25"/>
  <c r="D50" i="25"/>
  <c r="C50" i="25"/>
  <c r="B50" i="25"/>
  <c r="D49" i="25"/>
  <c r="C49" i="25"/>
  <c r="B49" i="25"/>
  <c r="D48" i="25"/>
  <c r="C48" i="25"/>
  <c r="B48" i="25"/>
  <c r="D47" i="25"/>
  <c r="C47" i="25"/>
  <c r="B47" i="25"/>
  <c r="D46" i="25"/>
  <c r="C46" i="25"/>
  <c r="B46" i="25"/>
  <c r="D45" i="25"/>
  <c r="C45" i="25"/>
  <c r="B45" i="25"/>
  <c r="D44" i="25"/>
  <c r="C44" i="25"/>
  <c r="B44" i="25"/>
  <c r="D43" i="25"/>
  <c r="C43" i="25"/>
  <c r="B43" i="25"/>
  <c r="D42" i="25"/>
  <c r="C42" i="25"/>
  <c r="B42" i="25"/>
  <c r="D41" i="25"/>
  <c r="C41" i="25"/>
  <c r="B41" i="25"/>
  <c r="C40" i="25"/>
  <c r="D40" i="25"/>
  <c r="B40" i="25"/>
  <c r="E71" i="26"/>
  <c r="D71" i="26"/>
  <c r="C71" i="26"/>
  <c r="B71" i="26"/>
  <c r="E70" i="26"/>
  <c r="D70" i="26"/>
  <c r="C70" i="26"/>
  <c r="B70" i="26"/>
  <c r="E69" i="26"/>
  <c r="D69" i="26"/>
  <c r="C69" i="26"/>
  <c r="B69" i="26"/>
  <c r="E68" i="26"/>
  <c r="D68" i="26"/>
  <c r="C68" i="26"/>
  <c r="B68" i="26"/>
  <c r="E67" i="26"/>
  <c r="D67" i="26"/>
  <c r="C67" i="26"/>
  <c r="B67" i="26"/>
  <c r="E66" i="26"/>
  <c r="D66" i="26"/>
  <c r="C66" i="26"/>
  <c r="B66" i="26"/>
  <c r="E65" i="26"/>
  <c r="D65" i="26"/>
  <c r="C65" i="26"/>
  <c r="B65" i="26"/>
  <c r="E64" i="26"/>
  <c r="D64" i="26"/>
  <c r="C64" i="26"/>
  <c r="B64" i="26"/>
  <c r="E63" i="26"/>
  <c r="D63" i="26"/>
  <c r="C63" i="26"/>
  <c r="B63" i="26"/>
  <c r="E62" i="26"/>
  <c r="D62" i="26"/>
  <c r="C62" i="26"/>
  <c r="B62" i="26"/>
  <c r="E61" i="26"/>
  <c r="D61" i="26"/>
  <c r="C61" i="26"/>
  <c r="B61" i="26"/>
  <c r="E60" i="26"/>
  <c r="D60" i="26"/>
  <c r="C60" i="26"/>
  <c r="B60" i="26"/>
  <c r="E59" i="26"/>
  <c r="D59" i="26"/>
  <c r="C59" i="26"/>
  <c r="B59" i="26"/>
  <c r="E58" i="26"/>
  <c r="D58" i="26"/>
  <c r="C58" i="26"/>
  <c r="B58" i="26"/>
  <c r="E57" i="26"/>
  <c r="D57" i="26"/>
  <c r="C57" i="26"/>
  <c r="B57" i="26"/>
  <c r="E56" i="26"/>
  <c r="D56" i="26"/>
  <c r="C56" i="26"/>
  <c r="B56" i="26"/>
  <c r="E55" i="26"/>
  <c r="D55" i="26"/>
  <c r="C55" i="26"/>
  <c r="B55" i="26"/>
  <c r="E54" i="26"/>
  <c r="D54" i="26"/>
  <c r="C54" i="26"/>
  <c r="B54" i="26"/>
  <c r="E53" i="26"/>
  <c r="D53" i="26"/>
  <c r="C53" i="26"/>
  <c r="B53" i="26"/>
  <c r="E52" i="26"/>
  <c r="D52" i="26"/>
  <c r="C52" i="26"/>
  <c r="B52" i="26"/>
  <c r="E51" i="26"/>
  <c r="D51" i="26"/>
  <c r="C51" i="26"/>
  <c r="B51" i="26"/>
  <c r="E50" i="26"/>
  <c r="D50" i="26"/>
  <c r="C50" i="26"/>
  <c r="B50" i="26"/>
  <c r="E49" i="26"/>
  <c r="D49" i="26"/>
  <c r="C49" i="26"/>
  <c r="B49" i="26"/>
  <c r="E48" i="26"/>
  <c r="D48" i="26"/>
  <c r="C48" i="26"/>
  <c r="B48" i="26"/>
  <c r="E47" i="26"/>
  <c r="D47" i="26"/>
  <c r="C47" i="26"/>
  <c r="B47" i="26"/>
  <c r="E46" i="26"/>
  <c r="D46" i="26"/>
  <c r="C46" i="26"/>
  <c r="B46" i="26"/>
  <c r="E45" i="26"/>
  <c r="D45" i="26"/>
  <c r="C45" i="26"/>
  <c r="B45" i="26"/>
  <c r="E44" i="26"/>
  <c r="D44" i="26"/>
  <c r="C44" i="26"/>
  <c r="B44" i="26"/>
  <c r="E43" i="26"/>
  <c r="D43" i="26"/>
  <c r="C43" i="26"/>
  <c r="B43" i="26"/>
  <c r="E42" i="26"/>
  <c r="D42" i="26"/>
  <c r="C42" i="26"/>
  <c r="B42" i="26"/>
  <c r="E41" i="26"/>
  <c r="D41" i="26"/>
  <c r="C41" i="26"/>
  <c r="B41" i="26"/>
  <c r="E40" i="26"/>
  <c r="D40" i="26"/>
  <c r="C40" i="26"/>
  <c r="B40" i="26"/>
  <c r="C39" i="26"/>
  <c r="E39" i="26"/>
  <c r="D39" i="26"/>
  <c r="B39" i="26"/>
  <c r="D71" i="22"/>
  <c r="B71" i="22"/>
  <c r="D70" i="22"/>
  <c r="C70" i="22"/>
  <c r="B70" i="22"/>
  <c r="D69" i="22"/>
  <c r="C69" i="22"/>
  <c r="B69" i="22"/>
  <c r="D68" i="22"/>
  <c r="C68" i="22"/>
  <c r="B68" i="22"/>
  <c r="D67" i="22"/>
  <c r="C67" i="22"/>
  <c r="B67" i="22"/>
  <c r="D66" i="22"/>
  <c r="C66" i="22"/>
  <c r="B66" i="22"/>
  <c r="D65" i="22"/>
  <c r="C65" i="22"/>
  <c r="B65" i="22"/>
  <c r="D64" i="22"/>
  <c r="C64" i="22"/>
  <c r="B64" i="22"/>
  <c r="D63" i="22"/>
  <c r="C63" i="22"/>
  <c r="B63" i="22"/>
  <c r="D62" i="22"/>
  <c r="C62" i="22"/>
  <c r="B62" i="22"/>
  <c r="D61" i="22"/>
  <c r="C61" i="22"/>
  <c r="B61" i="22"/>
  <c r="D60" i="22"/>
  <c r="C60" i="22"/>
  <c r="B60" i="22"/>
  <c r="D59" i="22"/>
  <c r="C59" i="22"/>
  <c r="B59" i="22"/>
  <c r="D58" i="22"/>
  <c r="C58" i="22"/>
  <c r="B58" i="22"/>
  <c r="D57" i="22"/>
  <c r="C57" i="22"/>
  <c r="B57" i="22"/>
  <c r="D56" i="22"/>
  <c r="C56" i="22"/>
  <c r="B56" i="22"/>
  <c r="D55" i="22"/>
  <c r="C55" i="22"/>
  <c r="B55" i="22"/>
  <c r="D54" i="22"/>
  <c r="C54" i="22"/>
  <c r="B54" i="22"/>
  <c r="D53" i="22"/>
  <c r="C53" i="22"/>
  <c r="B53" i="22"/>
  <c r="D52" i="22"/>
  <c r="C52" i="22"/>
  <c r="B52" i="22"/>
  <c r="D51" i="22"/>
  <c r="C51" i="22"/>
  <c r="B51" i="22"/>
  <c r="D50" i="22"/>
  <c r="C50" i="22"/>
  <c r="B50" i="22"/>
  <c r="D49" i="22"/>
  <c r="C49" i="22"/>
  <c r="B49" i="22"/>
  <c r="D48" i="22"/>
  <c r="C48" i="22"/>
  <c r="B48" i="22"/>
  <c r="D47" i="22"/>
  <c r="C47" i="22"/>
  <c r="B47" i="22"/>
  <c r="D46" i="22"/>
  <c r="C46" i="22"/>
  <c r="B46" i="22"/>
  <c r="D45" i="22"/>
  <c r="C45" i="22"/>
  <c r="B45" i="22"/>
  <c r="D44" i="22"/>
  <c r="C44" i="22"/>
  <c r="B44" i="22"/>
  <c r="D43" i="22"/>
  <c r="C43" i="22"/>
  <c r="B43" i="22"/>
  <c r="D42" i="22"/>
  <c r="C42" i="22"/>
  <c r="B42" i="22"/>
  <c r="D41" i="22"/>
  <c r="C41" i="22"/>
  <c r="B41" i="22"/>
  <c r="D40" i="22"/>
  <c r="C40" i="22"/>
  <c r="B40" i="22"/>
  <c r="C39" i="22"/>
  <c r="D39" i="22"/>
  <c r="B39" i="22"/>
  <c r="D72" i="28"/>
  <c r="B72" i="28"/>
  <c r="D71" i="28"/>
  <c r="C71" i="28"/>
  <c r="B71" i="28"/>
  <c r="D70" i="28"/>
  <c r="C70" i="28"/>
  <c r="B70" i="28"/>
  <c r="D69" i="28"/>
  <c r="C69" i="28"/>
  <c r="B69" i="28"/>
  <c r="D68" i="28"/>
  <c r="C68" i="28"/>
  <c r="B68" i="28"/>
  <c r="D67" i="28"/>
  <c r="C67" i="28"/>
  <c r="B67" i="28"/>
  <c r="D66" i="28"/>
  <c r="C66" i="28"/>
  <c r="B66" i="28"/>
  <c r="D65" i="28"/>
  <c r="C65" i="28"/>
  <c r="B65" i="28"/>
  <c r="D64" i="28"/>
  <c r="C64" i="28"/>
  <c r="B64" i="28"/>
  <c r="D63" i="28"/>
  <c r="C63" i="28"/>
  <c r="B63" i="28"/>
  <c r="D62" i="28"/>
  <c r="C62" i="28"/>
  <c r="B62" i="28"/>
  <c r="D61" i="28"/>
  <c r="C61" i="28"/>
  <c r="B61" i="28"/>
  <c r="D60" i="28"/>
  <c r="C60" i="28"/>
  <c r="B60" i="28"/>
  <c r="D59" i="28"/>
  <c r="C59" i="28"/>
  <c r="B59" i="28"/>
  <c r="D58" i="28"/>
  <c r="C58" i="28"/>
  <c r="B58" i="28"/>
  <c r="D57" i="28"/>
  <c r="C57" i="28"/>
  <c r="B57" i="28"/>
  <c r="D56" i="28"/>
  <c r="C56" i="28"/>
  <c r="B56" i="28"/>
  <c r="D55" i="28"/>
  <c r="C55" i="28"/>
  <c r="B55" i="28"/>
  <c r="D54" i="28"/>
  <c r="C54" i="28"/>
  <c r="B54" i="28"/>
  <c r="D53" i="28"/>
  <c r="C53" i="28"/>
  <c r="B53" i="28"/>
  <c r="D52" i="28"/>
  <c r="C52" i="28"/>
  <c r="B52" i="28"/>
  <c r="D51" i="28"/>
  <c r="C51" i="28"/>
  <c r="B51" i="28"/>
  <c r="D50" i="28"/>
  <c r="C50" i="28"/>
  <c r="B50" i="28"/>
  <c r="D49" i="28"/>
  <c r="C49" i="28"/>
  <c r="B49" i="28"/>
  <c r="D48" i="28"/>
  <c r="C48" i="28"/>
  <c r="B48" i="28"/>
  <c r="D47" i="28"/>
  <c r="C47" i="28"/>
  <c r="B47" i="28"/>
  <c r="D46" i="28"/>
  <c r="C46" i="28"/>
  <c r="B46" i="28"/>
  <c r="D45" i="28"/>
  <c r="C45" i="28"/>
  <c r="B45" i="28"/>
  <c r="D44" i="28"/>
  <c r="C44" i="28"/>
  <c r="B44" i="28"/>
  <c r="D43" i="28"/>
  <c r="C43" i="28"/>
  <c r="B43" i="28"/>
  <c r="D42" i="28"/>
  <c r="C42" i="28"/>
  <c r="B42" i="28"/>
  <c r="D41" i="28"/>
  <c r="C41" i="28"/>
  <c r="B41" i="28"/>
  <c r="D40" i="28"/>
  <c r="C40" i="28"/>
  <c r="B40" i="28"/>
  <c r="O81" i="19"/>
  <c r="N81" i="19"/>
  <c r="M81" i="19"/>
  <c r="I81" i="19"/>
  <c r="H81" i="19"/>
  <c r="G81" i="19"/>
  <c r="F81" i="19"/>
  <c r="E81" i="19"/>
  <c r="D81" i="19"/>
  <c r="O80" i="19"/>
  <c r="N80" i="19"/>
  <c r="M80" i="19"/>
  <c r="I80" i="19"/>
  <c r="H80" i="19"/>
  <c r="G80" i="19"/>
  <c r="F80" i="19"/>
  <c r="E80" i="19"/>
  <c r="D80" i="19"/>
  <c r="O79" i="19"/>
  <c r="N79" i="19"/>
  <c r="M79" i="19"/>
  <c r="I79" i="19"/>
  <c r="H79" i="19"/>
  <c r="G79" i="19"/>
  <c r="F79" i="19"/>
  <c r="E79" i="19"/>
  <c r="D79" i="19"/>
  <c r="O78" i="19"/>
  <c r="N78" i="19"/>
  <c r="M78" i="19"/>
  <c r="I78" i="19"/>
  <c r="H78" i="19"/>
  <c r="G78" i="19"/>
  <c r="F78" i="19"/>
  <c r="E78" i="19"/>
  <c r="D78" i="19"/>
  <c r="O77" i="19"/>
  <c r="N77" i="19"/>
  <c r="M77" i="19"/>
  <c r="I77" i="19"/>
  <c r="H77" i="19"/>
  <c r="G77" i="19"/>
  <c r="F77" i="19"/>
  <c r="E77" i="19"/>
  <c r="D77" i="19"/>
  <c r="O76" i="19"/>
  <c r="N76" i="19"/>
  <c r="M76" i="19"/>
  <c r="I76" i="19"/>
  <c r="H76" i="19"/>
  <c r="G76" i="19"/>
  <c r="F76" i="19"/>
  <c r="E76" i="19"/>
  <c r="D76" i="19"/>
  <c r="O75" i="19"/>
  <c r="N75" i="19"/>
  <c r="M75" i="19"/>
  <c r="I75" i="19"/>
  <c r="H75" i="19"/>
  <c r="G75" i="19"/>
  <c r="F75" i="19"/>
  <c r="E75" i="19"/>
  <c r="D75" i="19"/>
  <c r="O74" i="19"/>
  <c r="N74" i="19"/>
  <c r="M74" i="19"/>
  <c r="I74" i="19"/>
  <c r="H74" i="19"/>
  <c r="G74" i="19"/>
  <c r="F74" i="19"/>
  <c r="E74" i="19"/>
  <c r="D74" i="19"/>
  <c r="O73" i="19"/>
  <c r="N73" i="19"/>
  <c r="M73" i="19"/>
  <c r="I73" i="19"/>
  <c r="H73" i="19"/>
  <c r="G73" i="19"/>
  <c r="F73" i="19"/>
  <c r="E73" i="19"/>
  <c r="D73" i="19"/>
  <c r="O72" i="19"/>
  <c r="N72" i="19"/>
  <c r="M72" i="19"/>
  <c r="I72" i="19"/>
  <c r="H72" i="19"/>
  <c r="G72" i="19"/>
  <c r="F72" i="19"/>
  <c r="E72" i="19"/>
  <c r="D72" i="19"/>
  <c r="O71" i="19"/>
  <c r="N71" i="19"/>
  <c r="M71" i="19"/>
  <c r="I71" i="19"/>
  <c r="H71" i="19"/>
  <c r="G71" i="19"/>
  <c r="F71" i="19"/>
  <c r="E71" i="19"/>
  <c r="D71" i="19"/>
  <c r="O70" i="19"/>
  <c r="N70" i="19"/>
  <c r="M70" i="19"/>
  <c r="I70" i="19"/>
  <c r="H70" i="19"/>
  <c r="G70" i="19"/>
  <c r="F70" i="19"/>
  <c r="E70" i="19"/>
  <c r="D70" i="19"/>
  <c r="O69" i="19"/>
  <c r="N69" i="19"/>
  <c r="M69" i="19"/>
  <c r="I69" i="19"/>
  <c r="H69" i="19"/>
  <c r="G69" i="19"/>
  <c r="F69" i="19"/>
  <c r="E69" i="19"/>
  <c r="D69" i="19"/>
  <c r="O68" i="19"/>
  <c r="N68" i="19"/>
  <c r="M68" i="19"/>
  <c r="I68" i="19"/>
  <c r="H68" i="19"/>
  <c r="G68" i="19"/>
  <c r="F68" i="19"/>
  <c r="E68" i="19"/>
  <c r="D68" i="19"/>
  <c r="O67" i="19"/>
  <c r="N67" i="19"/>
  <c r="M67" i="19"/>
  <c r="I67" i="19"/>
  <c r="H67" i="19"/>
  <c r="G67" i="19"/>
  <c r="F67" i="19"/>
  <c r="E67" i="19"/>
  <c r="D67" i="19"/>
  <c r="O66" i="19"/>
  <c r="N66" i="19"/>
  <c r="M66" i="19"/>
  <c r="I66" i="19"/>
  <c r="H66" i="19"/>
  <c r="G66" i="19"/>
  <c r="F66" i="19"/>
  <c r="E66" i="19"/>
  <c r="D66" i="19"/>
  <c r="O65" i="19"/>
  <c r="N65" i="19"/>
  <c r="M65" i="19"/>
  <c r="I65" i="19"/>
  <c r="H65" i="19"/>
  <c r="G65" i="19"/>
  <c r="F65" i="19"/>
  <c r="E65" i="19"/>
  <c r="D65" i="19"/>
  <c r="O64" i="19"/>
  <c r="N64" i="19"/>
  <c r="M64" i="19"/>
  <c r="I64" i="19"/>
  <c r="H64" i="19"/>
  <c r="G64" i="19"/>
  <c r="F64" i="19"/>
  <c r="E64" i="19"/>
  <c r="D64" i="19"/>
  <c r="O63" i="19"/>
  <c r="N63" i="19"/>
  <c r="M63" i="19"/>
  <c r="I63" i="19"/>
  <c r="H63" i="19"/>
  <c r="G63" i="19"/>
  <c r="F63" i="19"/>
  <c r="E63" i="19"/>
  <c r="D63" i="19"/>
  <c r="O62" i="19"/>
  <c r="N62" i="19"/>
  <c r="M62" i="19"/>
  <c r="I62" i="19"/>
  <c r="H62" i="19"/>
  <c r="G62" i="19"/>
  <c r="F62" i="19"/>
  <c r="E62" i="19"/>
  <c r="D62" i="19"/>
  <c r="O61" i="19"/>
  <c r="N61" i="19"/>
  <c r="M61" i="19"/>
  <c r="I61" i="19"/>
  <c r="H61" i="19"/>
  <c r="G61" i="19"/>
  <c r="F61" i="19"/>
  <c r="E61" i="19"/>
  <c r="D61" i="19"/>
  <c r="O60" i="19"/>
  <c r="N60" i="19"/>
  <c r="M60" i="19"/>
  <c r="I60" i="19"/>
  <c r="H60" i="19"/>
  <c r="G60" i="19"/>
  <c r="F60" i="19"/>
  <c r="E60" i="19"/>
  <c r="D60" i="19"/>
  <c r="O59" i="19"/>
  <c r="N59" i="19"/>
  <c r="M59" i="19"/>
  <c r="I59" i="19"/>
  <c r="H59" i="19"/>
  <c r="G59" i="19"/>
  <c r="F59" i="19"/>
  <c r="E59" i="19"/>
  <c r="D59" i="19"/>
  <c r="O58" i="19"/>
  <c r="N58" i="19"/>
  <c r="M58" i="19"/>
  <c r="I58" i="19"/>
  <c r="H58" i="19"/>
  <c r="G58" i="19"/>
  <c r="F58" i="19"/>
  <c r="E58" i="19"/>
  <c r="D58" i="19"/>
  <c r="O57" i="19"/>
  <c r="N57" i="19"/>
  <c r="M57" i="19"/>
  <c r="I57" i="19"/>
  <c r="H57" i="19"/>
  <c r="G57" i="19"/>
  <c r="F57" i="19"/>
  <c r="E57" i="19"/>
  <c r="D57" i="19"/>
  <c r="O56" i="19"/>
  <c r="N56" i="19"/>
  <c r="M56" i="19"/>
  <c r="I56" i="19"/>
  <c r="H56" i="19"/>
  <c r="G56" i="19"/>
  <c r="F56" i="19"/>
  <c r="E56" i="19"/>
  <c r="D56" i="19"/>
  <c r="O55" i="19"/>
  <c r="N55" i="19"/>
  <c r="M55" i="19"/>
  <c r="I55" i="19"/>
  <c r="H55" i="19"/>
  <c r="G55" i="19"/>
  <c r="F55" i="19"/>
  <c r="E55" i="19"/>
  <c r="D55" i="19"/>
  <c r="O54" i="19"/>
  <c r="N54" i="19"/>
  <c r="M54" i="19"/>
  <c r="I54" i="19"/>
  <c r="H54" i="19"/>
  <c r="G54" i="19"/>
  <c r="F54" i="19"/>
  <c r="E54" i="19"/>
  <c r="D54" i="19"/>
  <c r="O53" i="19"/>
  <c r="N53" i="19"/>
  <c r="M53" i="19"/>
  <c r="I53" i="19"/>
  <c r="H53" i="19"/>
  <c r="G53" i="19"/>
  <c r="F53" i="19"/>
  <c r="E53" i="19"/>
  <c r="D53" i="19"/>
  <c r="O52" i="19"/>
  <c r="N52" i="19"/>
  <c r="M52" i="19"/>
  <c r="I52" i="19"/>
  <c r="H52" i="19"/>
  <c r="G52" i="19"/>
  <c r="F52" i="19"/>
  <c r="E52" i="19"/>
  <c r="D52" i="19"/>
  <c r="O51" i="19"/>
  <c r="N51" i="19"/>
  <c r="M51" i="19"/>
  <c r="I51" i="19"/>
  <c r="H51" i="19"/>
  <c r="G51" i="19"/>
  <c r="F51" i="19"/>
  <c r="E51" i="19"/>
  <c r="D51" i="19"/>
  <c r="Q50" i="19"/>
  <c r="P50" i="19"/>
  <c r="O50" i="19"/>
  <c r="N50" i="19"/>
  <c r="M50" i="19"/>
  <c r="L50" i="19"/>
  <c r="K50" i="19"/>
  <c r="I50" i="19"/>
  <c r="H50" i="19"/>
  <c r="G50" i="19"/>
  <c r="F50" i="19"/>
  <c r="E50" i="19"/>
  <c r="D50" i="19"/>
  <c r="Q49" i="19"/>
  <c r="P49" i="19"/>
  <c r="O49" i="19"/>
  <c r="N49" i="19"/>
  <c r="M49" i="19"/>
  <c r="L49" i="19"/>
  <c r="K49" i="19"/>
  <c r="I49" i="19"/>
  <c r="H49" i="19"/>
  <c r="G49" i="19"/>
  <c r="F49" i="19"/>
  <c r="E49" i="19"/>
  <c r="D49" i="19"/>
  <c r="Q48" i="19"/>
  <c r="M48" i="19"/>
  <c r="K48" i="19"/>
  <c r="H48" i="19"/>
  <c r="G48" i="19"/>
  <c r="F48" i="19"/>
  <c r="Q47" i="19"/>
  <c r="M47" i="19"/>
  <c r="K47" i="19"/>
  <c r="H47" i="19"/>
  <c r="G47" i="19"/>
  <c r="F47" i="19"/>
  <c r="Q46" i="19"/>
  <c r="M46" i="19"/>
  <c r="K46" i="19"/>
  <c r="H46" i="19"/>
  <c r="G46" i="19"/>
  <c r="F46" i="19"/>
  <c r="Q45" i="19"/>
  <c r="M45" i="19"/>
  <c r="K45" i="19"/>
  <c r="H45" i="19"/>
  <c r="F45" i="19"/>
  <c r="G45" i="19"/>
  <c r="J45" i="19"/>
  <c r="C80" i="19"/>
  <c r="B80" i="19"/>
  <c r="A80" i="19"/>
  <c r="C79" i="19"/>
  <c r="B79" i="19"/>
  <c r="A79" i="19"/>
  <c r="C78" i="19"/>
  <c r="B78" i="19"/>
  <c r="C77" i="19"/>
  <c r="B77" i="19"/>
  <c r="C76" i="19"/>
  <c r="B76" i="19"/>
  <c r="C75" i="19"/>
  <c r="B75" i="19"/>
  <c r="C74" i="19"/>
  <c r="B74" i="19"/>
  <c r="C73" i="19"/>
  <c r="B73" i="19"/>
  <c r="C72" i="19"/>
  <c r="B72" i="19"/>
  <c r="C71" i="19"/>
  <c r="B71" i="19"/>
  <c r="C70" i="19"/>
  <c r="B70" i="19"/>
  <c r="C69" i="19"/>
  <c r="B69" i="19"/>
  <c r="C68" i="19"/>
  <c r="B68" i="19"/>
  <c r="C67" i="19"/>
  <c r="B67" i="19"/>
  <c r="C66" i="19"/>
  <c r="B66" i="19"/>
  <c r="C65" i="19"/>
  <c r="B65" i="19"/>
  <c r="C64" i="19"/>
  <c r="B64" i="19"/>
  <c r="C63" i="19"/>
  <c r="B63" i="19"/>
  <c r="C62" i="19"/>
  <c r="B62" i="19"/>
  <c r="C61" i="19"/>
  <c r="B61" i="19"/>
  <c r="C60" i="19"/>
  <c r="B60" i="19"/>
  <c r="C59" i="19"/>
  <c r="B59" i="19"/>
  <c r="C58" i="19"/>
  <c r="B58" i="19"/>
  <c r="C57" i="19"/>
  <c r="B57" i="19"/>
  <c r="C56" i="19"/>
  <c r="B56" i="19"/>
  <c r="C55" i="19"/>
  <c r="B55" i="19"/>
  <c r="C54" i="19"/>
  <c r="B54" i="19"/>
  <c r="C53" i="19"/>
  <c r="B53" i="19"/>
  <c r="C52" i="19"/>
  <c r="B52" i="19"/>
  <c r="C51" i="19"/>
  <c r="B51" i="19"/>
  <c r="C50" i="19"/>
  <c r="B50" i="19"/>
  <c r="C49" i="19"/>
  <c r="C81" i="19" s="1"/>
  <c r="B49" i="19"/>
  <c r="C48" i="19"/>
  <c r="B48" i="19"/>
  <c r="C47" i="19"/>
  <c r="B47" i="19"/>
  <c r="C46" i="19"/>
  <c r="B46" i="19"/>
  <c r="C45" i="19"/>
  <c r="B45" i="19"/>
  <c r="E36" i="32"/>
  <c r="B81" i="19" l="1"/>
  <c r="N10" i="32"/>
  <c r="N11" i="32" s="1"/>
  <c r="N12" i="32" s="1"/>
  <c r="N13" i="32" s="1"/>
  <c r="N14" i="32" s="1"/>
  <c r="N15" i="32" s="1"/>
  <c r="N16" i="32" s="1"/>
  <c r="N17" i="32" s="1"/>
  <c r="N18" i="32" s="1"/>
  <c r="N19" i="32" s="1"/>
  <c r="N20" i="32" s="1"/>
  <c r="N21" i="32" s="1"/>
  <c r="N22" i="32" s="1"/>
  <c r="N23" i="32" s="1"/>
  <c r="N24" i="32" s="1"/>
  <c r="N25" i="32" s="1"/>
  <c r="N26" i="32" s="1"/>
  <c r="N27" i="32" s="1"/>
  <c r="N28" i="32" s="1"/>
  <c r="N29" i="32" s="1"/>
  <c r="N30" i="32" s="1"/>
  <c r="N31" i="32" s="1"/>
  <c r="N32" i="32" s="1"/>
  <c r="N33" i="32" s="1"/>
  <c r="N34" i="32" s="1"/>
  <c r="N35" i="32" s="1"/>
  <c r="N36" i="32" s="1"/>
  <c r="N9" i="32"/>
  <c r="J6" i="32"/>
  <c r="M6" i="27" l="1"/>
  <c r="D5" i="27"/>
  <c r="B21" i="14"/>
  <c r="G56" i="39"/>
  <c r="G65" i="39"/>
  <c r="G64" i="39"/>
  <c r="G63" i="39"/>
  <c r="G62" i="39"/>
  <c r="G59" i="39"/>
  <c r="G58" i="39"/>
  <c r="G57" i="39"/>
  <c r="G55" i="39"/>
  <c r="G54" i="39"/>
  <c r="G53" i="39"/>
  <c r="G60" i="39" s="1"/>
  <c r="G52" i="39"/>
  <c r="G51" i="39"/>
  <c r="G48" i="39"/>
  <c r="G45" i="39"/>
  <c r="G44" i="39"/>
  <c r="G43" i="39"/>
  <c r="G42" i="39"/>
  <c r="G39" i="39"/>
  <c r="G38" i="39"/>
  <c r="G35" i="39"/>
  <c r="G34" i="39"/>
  <c r="G31" i="39"/>
  <c r="G30" i="39"/>
  <c r="G29" i="39"/>
  <c r="G28" i="39"/>
  <c r="G27" i="39"/>
  <c r="G26" i="39"/>
  <c r="G25" i="39"/>
  <c r="G24" i="39"/>
  <c r="G23" i="39"/>
  <c r="G22" i="39"/>
  <c r="G21" i="39"/>
  <c r="G20" i="39"/>
  <c r="G15" i="39"/>
  <c r="G11" i="39"/>
  <c r="G7" i="39"/>
  <c r="M28" i="27" l="1"/>
  <c r="M29" i="27"/>
  <c r="M30" i="27"/>
  <c r="M31" i="27"/>
  <c r="M32" i="27"/>
  <c r="M33" i="27"/>
  <c r="M34" i="27"/>
  <c r="M35" i="27"/>
  <c r="M36" i="27"/>
  <c r="M37" i="27"/>
  <c r="E26" i="32"/>
  <c r="F7" i="63" l="1"/>
  <c r="E7" i="63"/>
  <c r="D7" i="63"/>
  <c r="C7" i="63"/>
  <c r="B7" i="63"/>
  <c r="F6" i="63"/>
  <c r="AA6" i="63" s="1"/>
  <c r="E6" i="63"/>
  <c r="D6" i="63"/>
  <c r="C6" i="63"/>
  <c r="B6" i="63"/>
  <c r="F5" i="63"/>
  <c r="E5" i="63"/>
  <c r="D5" i="63"/>
  <c r="C5" i="63"/>
  <c r="K5" i="63" s="1"/>
  <c r="B5" i="63"/>
  <c r="F4" i="63"/>
  <c r="AA4" i="63" s="1"/>
  <c r="E4" i="63"/>
  <c r="D4" i="63"/>
  <c r="C4" i="63"/>
  <c r="B4" i="63"/>
  <c r="F3" i="63"/>
  <c r="E3" i="63"/>
  <c r="E8" i="63" s="1"/>
  <c r="E9" i="63" s="1"/>
  <c r="D3" i="63"/>
  <c r="D8" i="63" s="1"/>
  <c r="D9" i="63" s="1"/>
  <c r="C3" i="63"/>
  <c r="G3" i="63" s="1"/>
  <c r="B3" i="63"/>
  <c r="Z9" i="63"/>
  <c r="W9" i="63"/>
  <c r="V9" i="63"/>
  <c r="Z8" i="63"/>
  <c r="Y8" i="63"/>
  <c r="Y9" i="63" s="1"/>
  <c r="X8" i="63"/>
  <c r="X9" i="63" s="1"/>
  <c r="W8" i="63"/>
  <c r="V8" i="63"/>
  <c r="U8" i="63"/>
  <c r="U9" i="63" s="1"/>
  <c r="T8" i="63"/>
  <c r="T9" i="63" s="1"/>
  <c r="M8" i="63"/>
  <c r="M9" i="63" s="1"/>
  <c r="AA7" i="63"/>
  <c r="R6" i="63"/>
  <c r="O6" i="63"/>
  <c r="L6" i="63"/>
  <c r="J6" i="63"/>
  <c r="I6" i="63"/>
  <c r="H6" i="63"/>
  <c r="K6" i="63"/>
  <c r="A6" i="63"/>
  <c r="A7" i="63" s="1"/>
  <c r="AA5" i="63"/>
  <c r="I5" i="63"/>
  <c r="H5" i="63"/>
  <c r="A5" i="63"/>
  <c r="I4" i="63"/>
  <c r="A4" i="63"/>
  <c r="AA3" i="63"/>
  <c r="AA8" i="63" l="1"/>
  <c r="AA9" i="63" s="1"/>
  <c r="C8" i="63"/>
  <c r="C9" i="63" s="1"/>
  <c r="L3" i="63"/>
  <c r="H3" i="63"/>
  <c r="G4" i="63"/>
  <c r="L4" i="63"/>
  <c r="I7" i="63"/>
  <c r="L7" i="63"/>
  <c r="H7" i="63"/>
  <c r="G7" i="63"/>
  <c r="I3" i="63"/>
  <c r="I8" i="63" s="1"/>
  <c r="I9" i="63" s="1"/>
  <c r="H4" i="63"/>
  <c r="J3" i="63"/>
  <c r="J4" i="63"/>
  <c r="Q6" i="63"/>
  <c r="P6" i="63"/>
  <c r="S6" i="63"/>
  <c r="K7" i="63"/>
  <c r="F8" i="63"/>
  <c r="F9" i="63" s="1"/>
  <c r="K3" i="63"/>
  <c r="K4" i="63"/>
  <c r="J5" i="63"/>
  <c r="G5" i="63"/>
  <c r="G8" i="63" s="1"/>
  <c r="G9" i="63" s="1"/>
  <c r="L5" i="63"/>
  <c r="N6" i="63"/>
  <c r="J7" i="63"/>
  <c r="G6" i="63"/>
  <c r="I13" i="18"/>
  <c r="J13" i="18"/>
  <c r="K13" i="18"/>
  <c r="L13" i="18"/>
  <c r="H13" i="18"/>
  <c r="B8" i="63" l="1"/>
  <c r="B9" i="63" s="1"/>
  <c r="Q3" i="63"/>
  <c r="O3" i="63"/>
  <c r="R3" i="63"/>
  <c r="P3" i="63"/>
  <c r="S3" i="63"/>
  <c r="N3" i="63"/>
  <c r="L8" i="63"/>
  <c r="L9" i="63" s="1"/>
  <c r="R4" i="63"/>
  <c r="N4" i="63"/>
  <c r="O4" i="63"/>
  <c r="Q4" i="63"/>
  <c r="P4" i="63"/>
  <c r="S4" i="63"/>
  <c r="R7" i="63"/>
  <c r="N7" i="63"/>
  <c r="Q7" i="63"/>
  <c r="S7" i="63"/>
  <c r="O7" i="63"/>
  <c r="P7" i="63"/>
  <c r="S5" i="63"/>
  <c r="O5" i="63"/>
  <c r="R5" i="63"/>
  <c r="Q5" i="63"/>
  <c r="P5" i="63"/>
  <c r="N5" i="63"/>
  <c r="K8" i="63"/>
  <c r="K9" i="63" s="1"/>
  <c r="J8" i="63"/>
  <c r="J9" i="63" s="1"/>
  <c r="H8" i="63"/>
  <c r="H9" i="63" s="1"/>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B4" i="17"/>
  <c r="B3" i="17"/>
  <c r="AM38" i="12"/>
  <c r="AL38" i="12"/>
  <c r="AK38" i="12"/>
  <c r="AJ38" i="12"/>
  <c r="AI38" i="12"/>
  <c r="AH38" i="12"/>
  <c r="AM37" i="12"/>
  <c r="AL37" i="12"/>
  <c r="AK37" i="12"/>
  <c r="AJ37" i="12"/>
  <c r="AI37" i="12"/>
  <c r="AH37" i="12"/>
  <c r="AM36" i="12"/>
  <c r="AL36" i="12"/>
  <c r="AK36" i="12"/>
  <c r="AJ36" i="12"/>
  <c r="AI36" i="12"/>
  <c r="AH36" i="12"/>
  <c r="AM35" i="12"/>
  <c r="AL35" i="12"/>
  <c r="AK35" i="12"/>
  <c r="AJ35" i="12"/>
  <c r="AI35" i="12"/>
  <c r="AH35" i="12"/>
  <c r="AM34" i="12"/>
  <c r="AL34" i="12"/>
  <c r="AK34" i="12"/>
  <c r="AJ34" i="12"/>
  <c r="AI34" i="12"/>
  <c r="AH34" i="12"/>
  <c r="AM33" i="12"/>
  <c r="AL33" i="12"/>
  <c r="AK33" i="12"/>
  <c r="AJ33" i="12"/>
  <c r="AI33" i="12"/>
  <c r="AH33" i="12"/>
  <c r="AM32" i="12"/>
  <c r="AL32" i="12"/>
  <c r="AK32" i="12"/>
  <c r="AJ32" i="12"/>
  <c r="AI32" i="12"/>
  <c r="AH32" i="12"/>
  <c r="AM31" i="12"/>
  <c r="AL31" i="12"/>
  <c r="AK31" i="12"/>
  <c r="AJ31" i="12"/>
  <c r="AI31" i="12"/>
  <c r="AH31" i="12"/>
  <c r="AM30" i="12"/>
  <c r="AL30" i="12"/>
  <c r="AK30" i="12"/>
  <c r="AJ30" i="12"/>
  <c r="AI30" i="12"/>
  <c r="AH30" i="12"/>
  <c r="AM29" i="12"/>
  <c r="AL29" i="12"/>
  <c r="AK29" i="12"/>
  <c r="AJ29" i="12"/>
  <c r="AI29" i="12"/>
  <c r="AH29" i="12"/>
  <c r="AM28" i="12"/>
  <c r="AL28" i="12"/>
  <c r="AK28" i="12"/>
  <c r="AJ28" i="12"/>
  <c r="AI28" i="12"/>
  <c r="AH28" i="12"/>
  <c r="AM27" i="12"/>
  <c r="AL27" i="12"/>
  <c r="AK27" i="12"/>
  <c r="AJ27" i="12"/>
  <c r="AI27" i="12"/>
  <c r="AH27" i="12"/>
  <c r="AM26" i="12"/>
  <c r="AL26" i="12"/>
  <c r="AK26" i="12"/>
  <c r="AJ26" i="12"/>
  <c r="AI26" i="12"/>
  <c r="AH26" i="12"/>
  <c r="AM25" i="12"/>
  <c r="AL25" i="12"/>
  <c r="AK25" i="12"/>
  <c r="AJ25" i="12"/>
  <c r="AI25" i="12"/>
  <c r="AH25" i="12"/>
  <c r="AM24" i="12"/>
  <c r="AL24" i="12"/>
  <c r="AK24" i="12"/>
  <c r="AJ24" i="12"/>
  <c r="AI24" i="12"/>
  <c r="AH24" i="12"/>
  <c r="AM23" i="12"/>
  <c r="AL23" i="12"/>
  <c r="AK23" i="12"/>
  <c r="AJ23" i="12"/>
  <c r="AI23" i="12"/>
  <c r="AH23" i="12"/>
  <c r="AM22" i="12"/>
  <c r="AL22" i="12"/>
  <c r="AK22" i="12"/>
  <c r="AJ22" i="12"/>
  <c r="AI22" i="12"/>
  <c r="AH22" i="12"/>
  <c r="AM21" i="12"/>
  <c r="AL21" i="12"/>
  <c r="AK21" i="12"/>
  <c r="AJ21" i="12"/>
  <c r="AI21" i="12"/>
  <c r="AH21" i="12"/>
  <c r="AM20" i="12"/>
  <c r="AL20" i="12"/>
  <c r="AK20" i="12"/>
  <c r="AJ20" i="12"/>
  <c r="AI20" i="12"/>
  <c r="AH20" i="12"/>
  <c r="AM19" i="12"/>
  <c r="AL19" i="12"/>
  <c r="AK19" i="12"/>
  <c r="AJ19" i="12"/>
  <c r="AI19" i="12"/>
  <c r="AH19" i="12"/>
  <c r="AM18" i="12"/>
  <c r="AL18" i="12"/>
  <c r="AK18" i="12"/>
  <c r="AJ18" i="12"/>
  <c r="AI18" i="12"/>
  <c r="AH18" i="12"/>
  <c r="AM17" i="12"/>
  <c r="AL17" i="12"/>
  <c r="AK17" i="12"/>
  <c r="AJ17" i="12"/>
  <c r="AI17" i="12"/>
  <c r="AH17" i="12"/>
  <c r="AM16" i="12"/>
  <c r="AL16" i="12"/>
  <c r="AK16" i="12"/>
  <c r="AJ16" i="12"/>
  <c r="AI16" i="12"/>
  <c r="AH16" i="12"/>
  <c r="AM15" i="12"/>
  <c r="AL15" i="12"/>
  <c r="AK15" i="12"/>
  <c r="AJ15" i="12"/>
  <c r="AI15" i="12"/>
  <c r="AH15" i="12"/>
  <c r="AM14" i="12"/>
  <c r="AL14" i="12"/>
  <c r="AK14" i="12"/>
  <c r="AJ14" i="12"/>
  <c r="AI14" i="12"/>
  <c r="AH14" i="12"/>
  <c r="AM13" i="12"/>
  <c r="AL13" i="12"/>
  <c r="AK13" i="12"/>
  <c r="AJ13" i="12"/>
  <c r="AI13" i="12"/>
  <c r="AH13" i="12"/>
  <c r="AM12" i="12"/>
  <c r="AL12" i="12"/>
  <c r="AK12" i="12"/>
  <c r="AJ12" i="12"/>
  <c r="AI12" i="12"/>
  <c r="AH12" i="12"/>
  <c r="AM11" i="12"/>
  <c r="AL11" i="12"/>
  <c r="AK11" i="12"/>
  <c r="AJ11" i="12"/>
  <c r="AI11" i="12"/>
  <c r="AH11" i="12"/>
  <c r="AM10" i="12"/>
  <c r="AL10" i="12"/>
  <c r="AK10" i="12"/>
  <c r="AJ10" i="12"/>
  <c r="AI10" i="12"/>
  <c r="AH10" i="12"/>
  <c r="AM9" i="12"/>
  <c r="AL9" i="12"/>
  <c r="AK9" i="12"/>
  <c r="AJ9" i="12"/>
  <c r="AI9" i="12"/>
  <c r="AH9" i="12"/>
  <c r="AM8" i="12"/>
  <c r="AL8" i="12"/>
  <c r="AK8" i="12"/>
  <c r="AJ8" i="12"/>
  <c r="AI8" i="12"/>
  <c r="AH8" i="12"/>
  <c r="AM7" i="12"/>
  <c r="AL7" i="12"/>
  <c r="AK7" i="12"/>
  <c r="AJ7" i="12"/>
  <c r="AI7" i="12"/>
  <c r="AH7" i="12"/>
  <c r="AM6" i="12"/>
  <c r="AL6" i="12"/>
  <c r="AK6" i="12"/>
  <c r="AJ6" i="12"/>
  <c r="AI6" i="12"/>
  <c r="AH6" i="12"/>
  <c r="AM5" i="12"/>
  <c r="AL5" i="12"/>
  <c r="AK5" i="12"/>
  <c r="AJ5" i="12"/>
  <c r="AI5" i="12"/>
  <c r="AH5" i="12"/>
  <c r="AM4" i="12"/>
  <c r="AL4" i="12"/>
  <c r="AK4" i="12"/>
  <c r="AJ4" i="12"/>
  <c r="AI4" i="12"/>
  <c r="AH4" i="12"/>
  <c r="AM3" i="12"/>
  <c r="AL3" i="12"/>
  <c r="AK3" i="12"/>
  <c r="AJ3" i="12"/>
  <c r="AI3" i="12"/>
  <c r="AH3" i="12"/>
  <c r="T38" i="12"/>
  <c r="S38" i="12"/>
  <c r="R38" i="12"/>
  <c r="Q38" i="12"/>
  <c r="P38" i="12"/>
  <c r="O38" i="12"/>
  <c r="T37" i="12"/>
  <c r="S37" i="12"/>
  <c r="R37" i="12"/>
  <c r="Q37" i="12"/>
  <c r="P37" i="12"/>
  <c r="O37" i="12"/>
  <c r="T36" i="12"/>
  <c r="S36" i="12"/>
  <c r="R36" i="12"/>
  <c r="Q36" i="12"/>
  <c r="P36" i="12"/>
  <c r="O36" i="12"/>
  <c r="T35" i="12"/>
  <c r="S35" i="12"/>
  <c r="R35" i="12"/>
  <c r="Q35" i="12"/>
  <c r="P35" i="12"/>
  <c r="O35" i="12"/>
  <c r="T34" i="12"/>
  <c r="S34" i="12"/>
  <c r="R34" i="12"/>
  <c r="Q34" i="12"/>
  <c r="P34" i="12"/>
  <c r="O34" i="12"/>
  <c r="T33" i="12"/>
  <c r="S33" i="12"/>
  <c r="R33" i="12"/>
  <c r="Q33" i="12"/>
  <c r="P33" i="12"/>
  <c r="O33" i="12"/>
  <c r="T32" i="12"/>
  <c r="S32" i="12"/>
  <c r="R32" i="12"/>
  <c r="Q32" i="12"/>
  <c r="P32" i="12"/>
  <c r="O32" i="12"/>
  <c r="T31" i="12"/>
  <c r="S31" i="12"/>
  <c r="R31" i="12"/>
  <c r="Q31" i="12"/>
  <c r="P31" i="12"/>
  <c r="O31" i="12"/>
  <c r="T30" i="12"/>
  <c r="S30" i="12"/>
  <c r="R30" i="12"/>
  <c r="Q30" i="12"/>
  <c r="P30" i="12"/>
  <c r="O30" i="12"/>
  <c r="T29" i="12"/>
  <c r="S29" i="12"/>
  <c r="R29" i="12"/>
  <c r="Q29" i="12"/>
  <c r="P29" i="12"/>
  <c r="O29" i="12"/>
  <c r="T28" i="12"/>
  <c r="S28" i="12"/>
  <c r="R28" i="12"/>
  <c r="Q28" i="12"/>
  <c r="P28" i="12"/>
  <c r="O28" i="12"/>
  <c r="T27" i="12"/>
  <c r="S27" i="12"/>
  <c r="R27" i="12"/>
  <c r="Q27" i="12"/>
  <c r="P27" i="12"/>
  <c r="O27" i="12"/>
  <c r="T26" i="12"/>
  <c r="S26" i="12"/>
  <c r="R26" i="12"/>
  <c r="Q26" i="12"/>
  <c r="P26" i="12"/>
  <c r="O26" i="12"/>
  <c r="T25" i="12"/>
  <c r="S25" i="12"/>
  <c r="R25" i="12"/>
  <c r="Q25" i="12"/>
  <c r="P25" i="12"/>
  <c r="O25" i="12"/>
  <c r="T24" i="12"/>
  <c r="S24" i="12"/>
  <c r="R24" i="12"/>
  <c r="Q24" i="12"/>
  <c r="P24" i="12"/>
  <c r="O24" i="12"/>
  <c r="T23" i="12"/>
  <c r="S23" i="12"/>
  <c r="R23" i="12"/>
  <c r="Q23" i="12"/>
  <c r="P23" i="12"/>
  <c r="O23" i="12"/>
  <c r="T22" i="12"/>
  <c r="S22" i="12"/>
  <c r="R22" i="12"/>
  <c r="Q22" i="12"/>
  <c r="P22" i="12"/>
  <c r="O22" i="12"/>
  <c r="T21" i="12"/>
  <c r="S21" i="12"/>
  <c r="R21" i="12"/>
  <c r="Q21" i="12"/>
  <c r="P21" i="12"/>
  <c r="O21" i="12"/>
  <c r="T20" i="12"/>
  <c r="S20" i="12"/>
  <c r="R20" i="12"/>
  <c r="Q20" i="12"/>
  <c r="P20" i="12"/>
  <c r="O20" i="12"/>
  <c r="T19" i="12"/>
  <c r="S19" i="12"/>
  <c r="R19" i="12"/>
  <c r="Q19" i="12"/>
  <c r="P19" i="12"/>
  <c r="O19" i="12"/>
  <c r="T18" i="12"/>
  <c r="S18" i="12"/>
  <c r="R18" i="12"/>
  <c r="Q18" i="12"/>
  <c r="P18" i="12"/>
  <c r="O18" i="12"/>
  <c r="T17" i="12"/>
  <c r="S17" i="12"/>
  <c r="R17" i="12"/>
  <c r="Q17" i="12"/>
  <c r="P17" i="12"/>
  <c r="O17" i="12"/>
  <c r="T16" i="12"/>
  <c r="S16" i="12"/>
  <c r="R16" i="12"/>
  <c r="Q16" i="12"/>
  <c r="P16" i="12"/>
  <c r="O16" i="12"/>
  <c r="T15" i="12"/>
  <c r="S15" i="12"/>
  <c r="R15" i="12"/>
  <c r="Q15" i="12"/>
  <c r="P15" i="12"/>
  <c r="O15" i="12"/>
  <c r="T14" i="12"/>
  <c r="S14" i="12"/>
  <c r="R14" i="12"/>
  <c r="Q14" i="12"/>
  <c r="P14" i="12"/>
  <c r="O14" i="12"/>
  <c r="T13" i="12"/>
  <c r="S13" i="12"/>
  <c r="R13" i="12"/>
  <c r="Q13" i="12"/>
  <c r="P13" i="12"/>
  <c r="O13" i="12"/>
  <c r="T12" i="12"/>
  <c r="S12" i="12"/>
  <c r="R12" i="12"/>
  <c r="Q12" i="12"/>
  <c r="P12" i="12"/>
  <c r="O12" i="12"/>
  <c r="T11" i="12"/>
  <c r="S11" i="12"/>
  <c r="R11" i="12"/>
  <c r="Q11" i="12"/>
  <c r="P11" i="12"/>
  <c r="O11" i="12"/>
  <c r="T10" i="12"/>
  <c r="S10" i="12"/>
  <c r="R10" i="12"/>
  <c r="Q10" i="12"/>
  <c r="P10" i="12"/>
  <c r="O10" i="12"/>
  <c r="T9" i="12"/>
  <c r="S9" i="12"/>
  <c r="R9" i="12"/>
  <c r="Q9" i="12"/>
  <c r="P9" i="12"/>
  <c r="O9" i="12"/>
  <c r="T8" i="12"/>
  <c r="S8" i="12"/>
  <c r="R8" i="12"/>
  <c r="Q8" i="12"/>
  <c r="P8" i="12"/>
  <c r="O8" i="12"/>
  <c r="T7" i="12"/>
  <c r="S7" i="12"/>
  <c r="R7" i="12"/>
  <c r="Q7" i="12"/>
  <c r="P7" i="12"/>
  <c r="O7" i="12"/>
  <c r="T6" i="12"/>
  <c r="S6" i="12"/>
  <c r="R6" i="12"/>
  <c r="Q6" i="12"/>
  <c r="P6" i="12"/>
  <c r="O6" i="12"/>
  <c r="T5" i="12"/>
  <c r="S5" i="12"/>
  <c r="R5" i="12"/>
  <c r="Q5" i="12"/>
  <c r="P5" i="12"/>
  <c r="O5" i="12"/>
  <c r="T4" i="12"/>
  <c r="S4" i="12"/>
  <c r="R4" i="12"/>
  <c r="Q4" i="12"/>
  <c r="P4" i="12"/>
  <c r="O4" i="12"/>
  <c r="T3" i="12"/>
  <c r="S3" i="12"/>
  <c r="R3" i="12"/>
  <c r="Q3" i="12"/>
  <c r="P3" i="12"/>
  <c r="O3" i="12"/>
  <c r="O8" i="63" l="1"/>
  <c r="O9" i="63" s="1"/>
  <c r="S8" i="63"/>
  <c r="S9" i="63" s="1"/>
  <c r="Q8" i="63"/>
  <c r="Q9" i="63" s="1"/>
  <c r="R8" i="63"/>
  <c r="R9" i="63" s="1"/>
  <c r="N8" i="63"/>
  <c r="N9" i="63" s="1"/>
  <c r="P8" i="63"/>
  <c r="P9" i="63" s="1"/>
  <c r="G8" i="36"/>
  <c r="G9" i="36"/>
  <c r="Q36" i="32"/>
  <c r="AG38" i="12" l="1"/>
  <c r="AF38" i="12"/>
  <c r="AE38" i="12"/>
  <c r="AG37" i="12"/>
  <c r="AF37" i="12"/>
  <c r="AE37" i="12"/>
  <c r="AG36" i="12"/>
  <c r="AF36" i="12"/>
  <c r="AE36" i="12"/>
  <c r="AG35" i="12"/>
  <c r="AF35" i="12"/>
  <c r="AE35" i="12"/>
  <c r="AG34" i="12"/>
  <c r="AF34" i="12"/>
  <c r="AE34" i="12"/>
  <c r="AG33" i="12"/>
  <c r="AF33" i="12"/>
  <c r="AE33" i="12"/>
  <c r="AG32" i="12"/>
  <c r="AF32" i="12"/>
  <c r="AE32" i="12"/>
  <c r="AG31" i="12"/>
  <c r="AF31" i="12"/>
  <c r="AE31" i="12"/>
  <c r="AG30" i="12"/>
  <c r="AF30" i="12"/>
  <c r="AE30" i="12"/>
  <c r="AG29" i="12"/>
  <c r="AF29" i="12"/>
  <c r="AE29" i="12"/>
  <c r="AG28" i="12"/>
  <c r="AF28" i="12"/>
  <c r="AE28" i="12"/>
  <c r="AG27" i="12"/>
  <c r="AF27" i="12"/>
  <c r="AE27" i="12"/>
  <c r="AG26" i="12"/>
  <c r="AF26" i="12"/>
  <c r="AE26" i="12"/>
  <c r="AG25" i="12"/>
  <c r="AF25" i="12"/>
  <c r="AE25" i="12"/>
  <c r="AG24" i="12"/>
  <c r="AF24" i="12"/>
  <c r="AE24" i="12"/>
  <c r="AG23" i="12"/>
  <c r="AF23" i="12"/>
  <c r="AE23" i="12"/>
  <c r="AG22" i="12"/>
  <c r="AF22" i="12"/>
  <c r="AE22" i="12"/>
  <c r="AG21" i="12"/>
  <c r="AF21" i="12"/>
  <c r="AE21" i="12"/>
  <c r="AG20" i="12"/>
  <c r="AF20" i="12"/>
  <c r="AE20" i="12"/>
  <c r="AG19" i="12"/>
  <c r="AF19" i="12"/>
  <c r="AE19" i="12"/>
  <c r="AG18" i="12"/>
  <c r="AF18" i="12"/>
  <c r="AE18" i="12"/>
  <c r="AG17" i="12"/>
  <c r="AF17" i="12"/>
  <c r="AE17" i="12"/>
  <c r="AG16" i="12"/>
  <c r="AF16" i="12"/>
  <c r="AE16" i="12"/>
  <c r="AG15" i="12"/>
  <c r="AF15" i="12"/>
  <c r="AE15" i="12"/>
  <c r="AG14" i="12"/>
  <c r="AF14" i="12"/>
  <c r="AE14" i="12"/>
  <c r="AG13" i="12"/>
  <c r="AF13" i="12"/>
  <c r="AE13" i="12"/>
  <c r="AG12" i="12"/>
  <c r="AF12" i="12"/>
  <c r="AE12" i="12"/>
  <c r="AG11" i="12"/>
  <c r="AF11" i="12"/>
  <c r="AE11" i="12"/>
  <c r="AG10" i="12"/>
  <c r="AF10" i="12"/>
  <c r="AE10" i="12"/>
  <c r="AG9" i="12"/>
  <c r="AF9" i="12"/>
  <c r="AE9" i="12"/>
  <c r="AG8" i="12"/>
  <c r="AF8" i="12"/>
  <c r="AE8" i="12"/>
  <c r="AG7" i="12"/>
  <c r="AF7" i="12"/>
  <c r="AE7" i="12"/>
  <c r="AG6" i="12"/>
  <c r="AF6" i="12"/>
  <c r="AE6" i="12"/>
  <c r="AG5" i="12"/>
  <c r="AF5" i="12"/>
  <c r="AE5" i="12"/>
  <c r="AG4" i="12"/>
  <c r="AF4" i="12"/>
  <c r="AE4" i="12"/>
  <c r="AG3" i="12"/>
  <c r="AF3" i="12"/>
  <c r="AE3" i="12"/>
  <c r="N38" i="12"/>
  <c r="M38" i="12"/>
  <c r="L38" i="12"/>
  <c r="N37" i="12"/>
  <c r="M37" i="12"/>
  <c r="L37" i="12"/>
  <c r="N36" i="12"/>
  <c r="M36" i="12"/>
  <c r="L36" i="12"/>
  <c r="N35" i="12"/>
  <c r="M35" i="12"/>
  <c r="L35" i="12"/>
  <c r="N34" i="12"/>
  <c r="M34" i="12"/>
  <c r="L34" i="12"/>
  <c r="N33" i="12"/>
  <c r="M33" i="12"/>
  <c r="L33" i="12"/>
  <c r="N32" i="12"/>
  <c r="M32" i="12"/>
  <c r="L32" i="12"/>
  <c r="N31" i="12"/>
  <c r="M31" i="12"/>
  <c r="L31" i="12"/>
  <c r="N30" i="12"/>
  <c r="M30" i="12"/>
  <c r="L30" i="12"/>
  <c r="N29" i="12"/>
  <c r="M29" i="12"/>
  <c r="L29" i="12"/>
  <c r="N28" i="12"/>
  <c r="M28" i="12"/>
  <c r="L28" i="12"/>
  <c r="N27" i="12"/>
  <c r="M27" i="12"/>
  <c r="L27" i="12"/>
  <c r="N26" i="12"/>
  <c r="M26" i="12"/>
  <c r="L26" i="12"/>
  <c r="N25" i="12"/>
  <c r="M25" i="12"/>
  <c r="L25" i="12"/>
  <c r="N24" i="12"/>
  <c r="M24" i="12"/>
  <c r="L24" i="12"/>
  <c r="N23" i="12"/>
  <c r="M23" i="12"/>
  <c r="L23" i="12"/>
  <c r="N22" i="12"/>
  <c r="M22" i="12"/>
  <c r="L22" i="12"/>
  <c r="N21" i="12"/>
  <c r="M21" i="12"/>
  <c r="L21" i="12"/>
  <c r="N20" i="12"/>
  <c r="M20" i="12"/>
  <c r="L20" i="12"/>
  <c r="N19" i="12"/>
  <c r="M19" i="12"/>
  <c r="L19" i="12"/>
  <c r="N18" i="12"/>
  <c r="M18" i="12"/>
  <c r="L18" i="12"/>
  <c r="N17" i="12"/>
  <c r="M17" i="12"/>
  <c r="L17" i="12"/>
  <c r="N16" i="12"/>
  <c r="M16" i="12"/>
  <c r="L16" i="12"/>
  <c r="N15" i="12"/>
  <c r="M15" i="12"/>
  <c r="L15" i="12"/>
  <c r="N14" i="12"/>
  <c r="M14" i="12"/>
  <c r="L14" i="12"/>
  <c r="N13" i="12"/>
  <c r="M13" i="12"/>
  <c r="L13" i="12"/>
  <c r="N12" i="12"/>
  <c r="M12" i="12"/>
  <c r="L12" i="12"/>
  <c r="N11" i="12"/>
  <c r="M11" i="12"/>
  <c r="L11" i="12"/>
  <c r="N10" i="12"/>
  <c r="M10" i="12"/>
  <c r="L10" i="12"/>
  <c r="N9" i="12"/>
  <c r="M9" i="12"/>
  <c r="L9" i="12"/>
  <c r="N8" i="12"/>
  <c r="M8" i="12"/>
  <c r="L8" i="12"/>
  <c r="N7" i="12"/>
  <c r="M7" i="12"/>
  <c r="L7" i="12"/>
  <c r="N6" i="12"/>
  <c r="M6" i="12"/>
  <c r="L6" i="12"/>
  <c r="N5" i="12"/>
  <c r="M5" i="12"/>
  <c r="L5" i="12"/>
  <c r="N4" i="12"/>
  <c r="M4" i="12"/>
  <c r="L4" i="12"/>
  <c r="N3" i="12"/>
  <c r="M3" i="12"/>
  <c r="L3" i="12"/>
  <c r="AA38" i="12"/>
  <c r="AA37" i="12"/>
  <c r="AA36" i="12"/>
  <c r="AA35" i="12"/>
  <c r="AA34" i="12"/>
  <c r="AA33" i="12"/>
  <c r="AA32" i="12"/>
  <c r="AA31" i="12"/>
  <c r="AA30" i="12"/>
  <c r="AA29" i="12"/>
  <c r="AA28" i="12"/>
  <c r="AA27" i="12"/>
  <c r="AA26" i="12"/>
  <c r="AA25" i="12"/>
  <c r="AA24" i="12"/>
  <c r="AA23" i="12"/>
  <c r="AA22" i="12"/>
  <c r="AA21" i="12"/>
  <c r="AA20" i="12"/>
  <c r="AA19" i="12"/>
  <c r="AA18" i="12"/>
  <c r="AA17" i="12"/>
  <c r="AA16" i="12"/>
  <c r="AA15" i="12"/>
  <c r="AA14" i="12"/>
  <c r="AA13" i="12"/>
  <c r="AA12" i="12"/>
  <c r="AA11" i="12"/>
  <c r="AA10" i="12"/>
  <c r="AA9" i="12"/>
  <c r="AA8" i="12"/>
  <c r="AA7" i="12"/>
  <c r="AA6" i="12"/>
  <c r="AA5" i="12"/>
  <c r="AA4" i="12"/>
  <c r="AA3"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 i="12"/>
  <c r="AD38" i="12"/>
  <c r="AC38" i="12"/>
  <c r="AB38" i="12"/>
  <c r="BN38" i="12" s="1"/>
  <c r="AD37" i="12"/>
  <c r="BP37" i="12" s="1"/>
  <c r="AC37" i="12"/>
  <c r="AB37" i="12"/>
  <c r="AD36" i="12"/>
  <c r="BP36" i="12" s="1"/>
  <c r="AC36" i="12"/>
  <c r="BO36" i="12" s="1"/>
  <c r="AB36" i="12"/>
  <c r="AD35" i="12"/>
  <c r="AC35" i="12"/>
  <c r="BO35" i="12" s="1"/>
  <c r="AB35" i="12"/>
  <c r="BN35" i="12" s="1"/>
  <c r="AD34" i="12"/>
  <c r="AC34" i="12"/>
  <c r="AB34" i="12"/>
  <c r="BN34" i="12" s="1"/>
  <c r="AD33" i="12"/>
  <c r="BP33" i="12" s="1"/>
  <c r="AC33" i="12"/>
  <c r="AB33" i="12"/>
  <c r="AD32" i="12"/>
  <c r="BP32" i="12" s="1"/>
  <c r="AC32" i="12"/>
  <c r="BO32" i="12" s="1"/>
  <c r="AB32" i="12"/>
  <c r="AD31" i="12"/>
  <c r="AC31" i="12"/>
  <c r="BO31" i="12" s="1"/>
  <c r="AB31" i="12"/>
  <c r="BN31" i="12" s="1"/>
  <c r="AD30" i="12"/>
  <c r="AC30" i="12"/>
  <c r="AB30" i="12"/>
  <c r="BN30" i="12" s="1"/>
  <c r="AD29" i="12"/>
  <c r="BP29" i="12" s="1"/>
  <c r="AC29" i="12"/>
  <c r="AB29" i="12"/>
  <c r="AD28" i="12"/>
  <c r="BP28" i="12" s="1"/>
  <c r="AC28" i="12"/>
  <c r="BO28" i="12" s="1"/>
  <c r="AB28" i="12"/>
  <c r="AD27" i="12"/>
  <c r="AC27" i="12"/>
  <c r="BO27" i="12" s="1"/>
  <c r="AB27" i="12"/>
  <c r="BN27" i="12" s="1"/>
  <c r="AD26" i="12"/>
  <c r="AC26" i="12"/>
  <c r="AB26" i="12"/>
  <c r="BN26" i="12" s="1"/>
  <c r="AD25" i="12"/>
  <c r="BP25" i="12" s="1"/>
  <c r="AC25" i="12"/>
  <c r="AB25" i="12"/>
  <c r="AD24" i="12"/>
  <c r="BP24" i="12" s="1"/>
  <c r="AC24" i="12"/>
  <c r="BO24" i="12" s="1"/>
  <c r="AB24" i="12"/>
  <c r="AD23" i="12"/>
  <c r="AC23" i="12"/>
  <c r="BO23" i="12" s="1"/>
  <c r="AB23" i="12"/>
  <c r="BN23" i="12" s="1"/>
  <c r="AD22" i="12"/>
  <c r="AC22" i="12"/>
  <c r="AB22" i="12"/>
  <c r="BN22" i="12" s="1"/>
  <c r="AD21" i="12"/>
  <c r="BP21" i="12" s="1"/>
  <c r="AC21" i="12"/>
  <c r="AB21" i="12"/>
  <c r="AD20" i="12"/>
  <c r="BP20" i="12" s="1"/>
  <c r="AC20" i="12"/>
  <c r="BO20" i="12" s="1"/>
  <c r="AB20" i="12"/>
  <c r="AD19" i="12"/>
  <c r="AC19" i="12"/>
  <c r="BO19" i="12" s="1"/>
  <c r="AB19" i="12"/>
  <c r="BN19" i="12" s="1"/>
  <c r="AD18" i="12"/>
  <c r="AC18" i="12"/>
  <c r="AB18" i="12"/>
  <c r="BN18" i="12" s="1"/>
  <c r="AD17" i="12"/>
  <c r="BP17" i="12" s="1"/>
  <c r="AC17" i="12"/>
  <c r="AB17" i="12"/>
  <c r="AD16" i="12"/>
  <c r="BP16" i="12" s="1"/>
  <c r="AC16" i="12"/>
  <c r="BO16" i="12" s="1"/>
  <c r="AB16" i="12"/>
  <c r="AD15" i="12"/>
  <c r="AC15" i="12"/>
  <c r="BO15" i="12" s="1"/>
  <c r="AB15" i="12"/>
  <c r="BN15" i="12" s="1"/>
  <c r="AD14" i="12"/>
  <c r="AC14" i="12"/>
  <c r="AB14" i="12"/>
  <c r="BN14" i="12" s="1"/>
  <c r="AD13" i="12"/>
  <c r="BP13" i="12" s="1"/>
  <c r="AC13" i="12"/>
  <c r="AB13" i="12"/>
  <c r="AD12" i="12"/>
  <c r="BP12" i="12" s="1"/>
  <c r="AC12" i="12"/>
  <c r="BO12" i="12" s="1"/>
  <c r="AB12" i="12"/>
  <c r="AD11" i="12"/>
  <c r="AC11" i="12"/>
  <c r="BO11" i="12" s="1"/>
  <c r="AB11" i="12"/>
  <c r="BN11" i="12" s="1"/>
  <c r="AD10" i="12"/>
  <c r="AC10" i="12"/>
  <c r="AB10" i="12"/>
  <c r="BN10" i="12" s="1"/>
  <c r="AD9" i="12"/>
  <c r="BP9" i="12" s="1"/>
  <c r="AC9" i="12"/>
  <c r="AB9" i="12"/>
  <c r="AD8" i="12"/>
  <c r="BP8" i="12" s="1"/>
  <c r="AC8" i="12"/>
  <c r="BO8" i="12" s="1"/>
  <c r="AB8" i="12"/>
  <c r="AD7" i="12"/>
  <c r="AC7" i="12"/>
  <c r="BO7" i="12" s="1"/>
  <c r="AB7" i="12"/>
  <c r="BN7" i="12" s="1"/>
  <c r="AD6" i="12"/>
  <c r="AC6" i="12"/>
  <c r="AB6" i="12"/>
  <c r="BN6" i="12" s="1"/>
  <c r="AD5" i="12"/>
  <c r="BP5" i="12" s="1"/>
  <c r="AC5" i="12"/>
  <c r="AB5" i="12"/>
  <c r="AD4" i="12"/>
  <c r="BP4" i="12" s="1"/>
  <c r="AC4" i="12"/>
  <c r="BO4" i="12" s="1"/>
  <c r="AB4" i="12"/>
  <c r="AD3" i="12"/>
  <c r="AC3" i="12"/>
  <c r="BO3" i="12" s="1"/>
  <c r="AB3" i="12"/>
  <c r="J46" i="12"/>
  <c r="K38" i="12"/>
  <c r="J38" i="12"/>
  <c r="I38" i="12"/>
  <c r="K37" i="12"/>
  <c r="J37" i="12"/>
  <c r="I37" i="12"/>
  <c r="K36" i="12"/>
  <c r="J36" i="12"/>
  <c r="I36" i="12"/>
  <c r="K35" i="12"/>
  <c r="J35" i="12"/>
  <c r="I35" i="12"/>
  <c r="K34" i="12"/>
  <c r="J34" i="12"/>
  <c r="I34" i="12"/>
  <c r="K33" i="12"/>
  <c r="J33" i="12"/>
  <c r="I33" i="12"/>
  <c r="K32" i="12"/>
  <c r="J32" i="12"/>
  <c r="I32" i="12"/>
  <c r="K31" i="12"/>
  <c r="J31" i="12"/>
  <c r="I31" i="12"/>
  <c r="K30" i="12"/>
  <c r="J30" i="12"/>
  <c r="I30" i="12"/>
  <c r="K29" i="12"/>
  <c r="J29" i="12"/>
  <c r="I29" i="12"/>
  <c r="K28" i="12"/>
  <c r="J28" i="12"/>
  <c r="I28" i="12"/>
  <c r="K27" i="12"/>
  <c r="J27" i="12"/>
  <c r="I27" i="12"/>
  <c r="K26" i="12"/>
  <c r="J26" i="12"/>
  <c r="I26" i="12"/>
  <c r="K25" i="12"/>
  <c r="J25" i="12"/>
  <c r="I25" i="12"/>
  <c r="K24" i="12"/>
  <c r="J24" i="12"/>
  <c r="I24" i="12"/>
  <c r="K23" i="12"/>
  <c r="J23" i="12"/>
  <c r="I23" i="12"/>
  <c r="K22" i="12"/>
  <c r="J22" i="12"/>
  <c r="I22" i="12"/>
  <c r="K21" i="12"/>
  <c r="J21" i="12"/>
  <c r="I21" i="12"/>
  <c r="K20" i="12"/>
  <c r="J20" i="12"/>
  <c r="I20" i="12"/>
  <c r="K19" i="12"/>
  <c r="J19" i="12"/>
  <c r="I19" i="12"/>
  <c r="K18" i="12"/>
  <c r="J18" i="12"/>
  <c r="I18" i="12"/>
  <c r="K17" i="12"/>
  <c r="J17" i="12"/>
  <c r="I17" i="12"/>
  <c r="K16" i="12"/>
  <c r="J16" i="12"/>
  <c r="I16" i="12"/>
  <c r="K15" i="12"/>
  <c r="J15" i="12"/>
  <c r="I15" i="12"/>
  <c r="K14" i="12"/>
  <c r="J14" i="12"/>
  <c r="I14" i="12"/>
  <c r="K13" i="12"/>
  <c r="J13" i="12"/>
  <c r="I13" i="12"/>
  <c r="K12" i="12"/>
  <c r="J12" i="12"/>
  <c r="I12" i="12"/>
  <c r="K11" i="12"/>
  <c r="J11" i="12"/>
  <c r="I11" i="12"/>
  <c r="K10" i="12"/>
  <c r="J10" i="12"/>
  <c r="I10" i="12"/>
  <c r="K9" i="12"/>
  <c r="J9" i="12"/>
  <c r="I9" i="12"/>
  <c r="K8" i="12"/>
  <c r="J8" i="12"/>
  <c r="I8" i="12"/>
  <c r="K7" i="12"/>
  <c r="J7" i="12"/>
  <c r="I7" i="12"/>
  <c r="K6" i="12"/>
  <c r="J6" i="12"/>
  <c r="I6" i="12"/>
  <c r="K5" i="12"/>
  <c r="J5" i="12"/>
  <c r="I5" i="12"/>
  <c r="K4" i="12"/>
  <c r="J4" i="12"/>
  <c r="I4" i="12"/>
  <c r="K3" i="12"/>
  <c r="J3" i="12"/>
  <c r="I3" i="12"/>
  <c r="BN3" i="12" s="1"/>
  <c r="BP3" i="12"/>
  <c r="BN4" i="12"/>
  <c r="BN5" i="12"/>
  <c r="BO5" i="12"/>
  <c r="BO6" i="12"/>
  <c r="BP6" i="12"/>
  <c r="BP7" i="12"/>
  <c r="BN8" i="12"/>
  <c r="BN9" i="12"/>
  <c r="BO9" i="12"/>
  <c r="BO10" i="12"/>
  <c r="BP10" i="12"/>
  <c r="BP11" i="12"/>
  <c r="BN12" i="12"/>
  <c r="BN13" i="12"/>
  <c r="BO13" i="12"/>
  <c r="BO14" i="12"/>
  <c r="BP14" i="12"/>
  <c r="BP15" i="12"/>
  <c r="BN16" i="12"/>
  <c r="BN17" i="12"/>
  <c r="BO17" i="12"/>
  <c r="BO18" i="12"/>
  <c r="BP18" i="12"/>
  <c r="BP19" i="12"/>
  <c r="BN20" i="12"/>
  <c r="BN21" i="12"/>
  <c r="BO21" i="12"/>
  <c r="BO22" i="12"/>
  <c r="BP22" i="12"/>
  <c r="BP23" i="12"/>
  <c r="BN24" i="12"/>
  <c r="BN25" i="12"/>
  <c r="BO25" i="12"/>
  <c r="BO26" i="12"/>
  <c r="BP26" i="12"/>
  <c r="BP27" i="12"/>
  <c r="BN28" i="12"/>
  <c r="BN29" i="12"/>
  <c r="BO29" i="12"/>
  <c r="BO30" i="12"/>
  <c r="BP30" i="12"/>
  <c r="BP31" i="12"/>
  <c r="BN32" i="12"/>
  <c r="BN33" i="12"/>
  <c r="BO33" i="12"/>
  <c r="BO34" i="12"/>
  <c r="BP34" i="12"/>
  <c r="BP35" i="12"/>
  <c r="BN36" i="12"/>
  <c r="BN37" i="12"/>
  <c r="BO37" i="12"/>
  <c r="BO38" i="12"/>
  <c r="BP38" i="12"/>
  <c r="U3" i="12"/>
  <c r="B3" i="12"/>
  <c r="G3" i="12"/>
  <c r="F3" i="12"/>
  <c r="E3" i="12"/>
  <c r="D3" i="12"/>
  <c r="E8" i="18"/>
  <c r="I68" i="2"/>
  <c r="E5" i="40"/>
  <c r="BQ9" i="8" l="1"/>
  <c r="E6" i="5" l="1"/>
  <c r="F7" i="36"/>
  <c r="E7" i="36"/>
  <c r="D7" i="36"/>
  <c r="C7" i="36"/>
  <c r="B7" i="36" s="1"/>
  <c r="F6" i="36"/>
  <c r="E6" i="36"/>
  <c r="D6" i="36"/>
  <c r="C6" i="36"/>
  <c r="B6" i="36" s="1"/>
  <c r="F5" i="36"/>
  <c r="E5" i="36"/>
  <c r="D5" i="36"/>
  <c r="B5" i="36" s="1"/>
  <c r="C5" i="36"/>
  <c r="F4" i="36"/>
  <c r="E4" i="36"/>
  <c r="D4" i="36"/>
  <c r="C4" i="36"/>
  <c r="B4" i="36"/>
  <c r="B3" i="36"/>
  <c r="F3" i="36"/>
  <c r="E3" i="36"/>
  <c r="D3" i="36"/>
  <c r="C3" i="36"/>
  <c r="F7" i="18"/>
  <c r="E7" i="18"/>
  <c r="D7" i="18"/>
  <c r="C7" i="18"/>
  <c r="B7" i="18" s="1"/>
  <c r="F6" i="18"/>
  <c r="E6" i="18"/>
  <c r="D6" i="18"/>
  <c r="C6" i="18"/>
  <c r="B6" i="18" s="1"/>
  <c r="F5" i="18"/>
  <c r="E5" i="18"/>
  <c r="D5" i="18"/>
  <c r="C5" i="18"/>
  <c r="B5" i="18"/>
  <c r="F4" i="18"/>
  <c r="E4" i="18"/>
  <c r="D4" i="18"/>
  <c r="C4" i="18"/>
  <c r="B4" i="18"/>
  <c r="B3" i="18"/>
  <c r="F3" i="18"/>
  <c r="E3" i="18"/>
  <c r="D3" i="18"/>
  <c r="C3" i="18"/>
  <c r="G20" i="40" l="1"/>
  <c r="G19" i="40"/>
  <c r="G18" i="40"/>
  <c r="G17" i="40"/>
  <c r="G16" i="40"/>
  <c r="M15" i="40"/>
  <c r="M14" i="40"/>
  <c r="M13" i="40"/>
  <c r="F13" i="40"/>
  <c r="G13" i="40" s="1"/>
  <c r="L10" i="40"/>
  <c r="M10" i="40" s="1"/>
  <c r="F10" i="40"/>
  <c r="G10" i="40" s="1"/>
  <c r="M26" i="40" l="1"/>
  <c r="M25" i="40"/>
  <c r="M24" i="40"/>
  <c r="M23" i="40"/>
  <c r="F5" i="30" l="1"/>
  <c r="E5" i="30"/>
  <c r="N5" i="7"/>
  <c r="L5" i="7"/>
  <c r="E5" i="7"/>
  <c r="B5" i="7"/>
  <c r="B13" i="14"/>
  <c r="C4" i="61" s="1"/>
  <c r="G8" i="32" l="1"/>
  <c r="G16" i="32"/>
  <c r="G20" i="32"/>
  <c r="G24" i="32"/>
  <c r="G28" i="32"/>
  <c r="G35" i="32"/>
  <c r="G9" i="32"/>
  <c r="G13" i="32"/>
  <c r="G17" i="32"/>
  <c r="G21" i="32"/>
  <c r="G25" i="32"/>
  <c r="G29" i="32"/>
  <c r="G33" i="32"/>
  <c r="G36" i="32"/>
  <c r="G10" i="32"/>
  <c r="G14" i="32"/>
  <c r="G18" i="32"/>
  <c r="G22" i="32"/>
  <c r="G26" i="32"/>
  <c r="G30" i="32"/>
  <c r="G34" i="32"/>
  <c r="G7" i="32"/>
  <c r="G11" i="32"/>
  <c r="G15" i="32"/>
  <c r="G19" i="32"/>
  <c r="G23" i="32"/>
  <c r="G27" i="32"/>
  <c r="G31" i="32"/>
  <c r="G12" i="32"/>
  <c r="G32" i="32"/>
  <c r="M7" i="19"/>
  <c r="M6" i="19"/>
  <c r="M5" i="19"/>
  <c r="M4" i="19"/>
  <c r="L9" i="19"/>
  <c r="L8" i="19"/>
  <c r="L7" i="19"/>
  <c r="L48" i="19" s="1"/>
  <c r="L6" i="19"/>
  <c r="L47" i="19" s="1"/>
  <c r="L5" i="19"/>
  <c r="L46" i="19" s="1"/>
  <c r="L4" i="19"/>
  <c r="L45" i="19" s="1"/>
  <c r="J5" i="19"/>
  <c r="J4" i="19"/>
  <c r="G9" i="19"/>
  <c r="G8" i="19"/>
  <c r="G7" i="19"/>
  <c r="N7" i="19" s="1"/>
  <c r="N48" i="19" s="1"/>
  <c r="G6" i="19"/>
  <c r="N6" i="19" s="1"/>
  <c r="N47" i="19" s="1"/>
  <c r="G5" i="19"/>
  <c r="N5" i="19" s="1"/>
  <c r="N46" i="19" s="1"/>
  <c r="G4" i="19"/>
  <c r="N4" i="19" s="1"/>
  <c r="N45" i="19" s="1"/>
  <c r="J6" i="19" l="1"/>
  <c r="J46" i="19"/>
  <c r="N9" i="19"/>
  <c r="G37" i="32"/>
  <c r="J7" i="19" l="1"/>
  <c r="J47" i="19"/>
  <c r="G63" i="59"/>
  <c r="G35" i="59"/>
  <c r="L35" i="59"/>
  <c r="J35" i="59"/>
  <c r="J31" i="59"/>
  <c r="J29" i="59"/>
  <c r="L31" i="59"/>
  <c r="L29" i="59"/>
  <c r="G31" i="59"/>
  <c r="G29" i="59"/>
  <c r="E35" i="60"/>
  <c r="H31" i="60"/>
  <c r="F31" i="62" s="1"/>
  <c r="E31" i="60"/>
  <c r="I31" i="62"/>
  <c r="H29" i="60"/>
  <c r="J29" i="60"/>
  <c r="C29" i="62"/>
  <c r="E29" i="60"/>
  <c r="I66" i="62"/>
  <c r="H66" i="62"/>
  <c r="F66" i="62"/>
  <c r="E66" i="62"/>
  <c r="C66" i="62"/>
  <c r="B66" i="62"/>
  <c r="I65" i="62"/>
  <c r="H65" i="62"/>
  <c r="F65" i="62"/>
  <c r="E65" i="62"/>
  <c r="C65" i="62"/>
  <c r="B65" i="62"/>
  <c r="I64" i="62"/>
  <c r="H64" i="62"/>
  <c r="F64" i="62"/>
  <c r="E64" i="62"/>
  <c r="C64" i="62"/>
  <c r="B64" i="62"/>
  <c r="I63" i="62"/>
  <c r="H63" i="62"/>
  <c r="F63" i="62"/>
  <c r="E63" i="62"/>
  <c r="C63" i="62"/>
  <c r="B63" i="62"/>
  <c r="I62" i="62"/>
  <c r="H62" i="62"/>
  <c r="F62" i="62"/>
  <c r="E62" i="62"/>
  <c r="C62" i="62"/>
  <c r="B62" i="62"/>
  <c r="I60" i="62"/>
  <c r="H60" i="62"/>
  <c r="F60" i="62"/>
  <c r="E60" i="62"/>
  <c r="C60" i="62"/>
  <c r="B60" i="62"/>
  <c r="I59" i="62"/>
  <c r="H59" i="62"/>
  <c r="F59" i="62"/>
  <c r="E59" i="62"/>
  <c r="C59" i="62"/>
  <c r="B59" i="62"/>
  <c r="I58" i="62"/>
  <c r="H58" i="62"/>
  <c r="F58" i="62"/>
  <c r="E58" i="62"/>
  <c r="C58" i="62"/>
  <c r="B58" i="62"/>
  <c r="I57" i="62"/>
  <c r="H57" i="62"/>
  <c r="F57" i="62"/>
  <c r="E57" i="62"/>
  <c r="C57" i="62"/>
  <c r="B57" i="62"/>
  <c r="I56" i="62"/>
  <c r="H56" i="62"/>
  <c r="F56" i="62"/>
  <c r="E56" i="62"/>
  <c r="C56" i="62"/>
  <c r="B56" i="62"/>
  <c r="I55" i="62"/>
  <c r="H55" i="62"/>
  <c r="F55" i="62"/>
  <c r="E55" i="62"/>
  <c r="C55" i="62"/>
  <c r="B55" i="62"/>
  <c r="I54" i="62"/>
  <c r="H54" i="62"/>
  <c r="F54" i="62"/>
  <c r="E54" i="62"/>
  <c r="C54" i="62"/>
  <c r="B54" i="62"/>
  <c r="I53" i="62"/>
  <c r="H53" i="62"/>
  <c r="F53" i="62"/>
  <c r="E53" i="62"/>
  <c r="C53" i="62"/>
  <c r="B53" i="62"/>
  <c r="I52" i="62"/>
  <c r="H52" i="62"/>
  <c r="F52" i="62"/>
  <c r="E52" i="62"/>
  <c r="C52" i="62"/>
  <c r="B52" i="62"/>
  <c r="I51" i="62"/>
  <c r="H51" i="62"/>
  <c r="F51" i="62"/>
  <c r="E51" i="62"/>
  <c r="C51" i="62"/>
  <c r="B51" i="62"/>
  <c r="I49" i="62"/>
  <c r="H49" i="62"/>
  <c r="F49" i="62"/>
  <c r="E49" i="62"/>
  <c r="C49" i="62"/>
  <c r="B49" i="62"/>
  <c r="I48" i="62"/>
  <c r="H48" i="62"/>
  <c r="F48" i="62"/>
  <c r="E48" i="62"/>
  <c r="C48" i="62"/>
  <c r="B48" i="62"/>
  <c r="I47" i="62"/>
  <c r="H47" i="62"/>
  <c r="F47" i="62"/>
  <c r="E47" i="62"/>
  <c r="C47" i="62"/>
  <c r="B47" i="62"/>
  <c r="I46" i="62"/>
  <c r="H46" i="62"/>
  <c r="F46" i="62"/>
  <c r="E46" i="62"/>
  <c r="C46" i="62"/>
  <c r="B46" i="62"/>
  <c r="I45" i="62"/>
  <c r="H45" i="62"/>
  <c r="F45" i="62"/>
  <c r="E45" i="62"/>
  <c r="C45" i="62"/>
  <c r="B45" i="62"/>
  <c r="I44" i="62"/>
  <c r="H44" i="62"/>
  <c r="F44" i="62"/>
  <c r="E44" i="62"/>
  <c r="C44" i="62"/>
  <c r="B44" i="62"/>
  <c r="I43" i="62"/>
  <c r="H43" i="62"/>
  <c r="F43" i="62"/>
  <c r="E43" i="62"/>
  <c r="C43" i="62"/>
  <c r="B43" i="62"/>
  <c r="I42" i="62"/>
  <c r="H42" i="62"/>
  <c r="F42" i="62"/>
  <c r="E42" i="62"/>
  <c r="C42" i="62"/>
  <c r="B42" i="62"/>
  <c r="I41" i="62"/>
  <c r="H41" i="62"/>
  <c r="F41" i="62"/>
  <c r="E41" i="62"/>
  <c r="C41" i="62"/>
  <c r="B41" i="62"/>
  <c r="I40" i="62"/>
  <c r="H40" i="62"/>
  <c r="F40" i="62"/>
  <c r="E40" i="62"/>
  <c r="C40" i="62"/>
  <c r="B40" i="62"/>
  <c r="I39" i="62"/>
  <c r="H39" i="62"/>
  <c r="F39" i="62"/>
  <c r="E39" i="62"/>
  <c r="C39" i="62"/>
  <c r="B39" i="62"/>
  <c r="I38" i="62"/>
  <c r="H38" i="62"/>
  <c r="F38" i="62"/>
  <c r="E38" i="62"/>
  <c r="C38" i="62"/>
  <c r="B38" i="62"/>
  <c r="I36" i="62"/>
  <c r="H36" i="62"/>
  <c r="F36" i="62"/>
  <c r="E36" i="62"/>
  <c r="C36" i="62"/>
  <c r="B36" i="62"/>
  <c r="I35" i="62"/>
  <c r="H35" i="62"/>
  <c r="F35" i="62"/>
  <c r="E35" i="62"/>
  <c r="C35" i="62"/>
  <c r="B35" i="62"/>
  <c r="I34" i="62"/>
  <c r="H34" i="62"/>
  <c r="F34" i="62"/>
  <c r="E34" i="62"/>
  <c r="C34" i="62"/>
  <c r="B34" i="62"/>
  <c r="I33" i="62"/>
  <c r="H33" i="62"/>
  <c r="F33" i="62"/>
  <c r="E33" i="62"/>
  <c r="C33" i="62"/>
  <c r="B33" i="62"/>
  <c r="I32" i="62"/>
  <c r="H32" i="62"/>
  <c r="F32" i="62"/>
  <c r="E32" i="62"/>
  <c r="C32" i="62"/>
  <c r="B32" i="62"/>
  <c r="H31" i="62"/>
  <c r="E31" i="62"/>
  <c r="C31" i="62"/>
  <c r="B31" i="62"/>
  <c r="I30" i="62"/>
  <c r="H30" i="62"/>
  <c r="F30" i="62"/>
  <c r="E30" i="62"/>
  <c r="C30" i="62"/>
  <c r="B30" i="62"/>
  <c r="I29" i="62"/>
  <c r="H29" i="62"/>
  <c r="E29" i="62"/>
  <c r="B29" i="62"/>
  <c r="I28" i="62"/>
  <c r="H28" i="62"/>
  <c r="F28" i="62"/>
  <c r="E28" i="62"/>
  <c r="C28" i="62"/>
  <c r="B28" i="62"/>
  <c r="I27" i="62"/>
  <c r="H27" i="62"/>
  <c r="F27" i="62"/>
  <c r="E27" i="62"/>
  <c r="C27" i="62"/>
  <c r="B27" i="62"/>
  <c r="I26" i="62"/>
  <c r="H26" i="62"/>
  <c r="F26" i="62"/>
  <c r="E26" i="62"/>
  <c r="C26" i="62"/>
  <c r="B26" i="62"/>
  <c r="I25" i="62"/>
  <c r="H25" i="62"/>
  <c r="F25" i="62"/>
  <c r="E25" i="62"/>
  <c r="C25" i="62"/>
  <c r="B25" i="62"/>
  <c r="I24" i="62"/>
  <c r="H24" i="62"/>
  <c r="F24" i="62"/>
  <c r="E24" i="62"/>
  <c r="C24" i="62"/>
  <c r="B24" i="62"/>
  <c r="I23" i="62"/>
  <c r="H23" i="62"/>
  <c r="F23" i="62"/>
  <c r="E23" i="62"/>
  <c r="C23" i="62"/>
  <c r="B23" i="62"/>
  <c r="I22" i="62"/>
  <c r="H22" i="62"/>
  <c r="F22" i="62"/>
  <c r="E22" i="62"/>
  <c r="C22" i="62"/>
  <c r="B22" i="62"/>
  <c r="I21" i="62"/>
  <c r="H21" i="62"/>
  <c r="F21" i="62"/>
  <c r="E21" i="62"/>
  <c r="C21" i="62"/>
  <c r="B21" i="62"/>
  <c r="I20" i="62"/>
  <c r="H20" i="62"/>
  <c r="F20" i="62"/>
  <c r="E20" i="62"/>
  <c r="C20" i="62"/>
  <c r="B20" i="62"/>
  <c r="I19" i="62"/>
  <c r="H19" i="62"/>
  <c r="F19" i="62"/>
  <c r="E19" i="62"/>
  <c r="C19" i="62"/>
  <c r="B19" i="62"/>
  <c r="I18" i="62"/>
  <c r="H18" i="62"/>
  <c r="F18" i="62"/>
  <c r="E18" i="62"/>
  <c r="C18" i="62"/>
  <c r="B18" i="62"/>
  <c r="I17" i="62"/>
  <c r="H17" i="62"/>
  <c r="F17" i="62"/>
  <c r="E17" i="62"/>
  <c r="C17" i="62"/>
  <c r="B17" i="62"/>
  <c r="I16" i="62"/>
  <c r="H16" i="62"/>
  <c r="F16" i="62"/>
  <c r="E16" i="62"/>
  <c r="C16" i="62"/>
  <c r="B16" i="62"/>
  <c r="I15" i="62"/>
  <c r="H15" i="62"/>
  <c r="F15" i="62"/>
  <c r="E15" i="62"/>
  <c r="C15" i="62"/>
  <c r="B15" i="62"/>
  <c r="I14" i="62"/>
  <c r="H14" i="62"/>
  <c r="F14" i="62"/>
  <c r="E14" i="62"/>
  <c r="C14" i="62"/>
  <c r="B14" i="62"/>
  <c r="I13" i="62"/>
  <c r="H13" i="62"/>
  <c r="F13" i="62"/>
  <c r="E13" i="62"/>
  <c r="C13" i="62"/>
  <c r="B13" i="62"/>
  <c r="I12" i="62"/>
  <c r="H12" i="62"/>
  <c r="F12" i="62"/>
  <c r="E12" i="62"/>
  <c r="C12" i="62"/>
  <c r="B12" i="62"/>
  <c r="I11" i="62"/>
  <c r="H11" i="62"/>
  <c r="F11" i="62"/>
  <c r="E11" i="62"/>
  <c r="C11" i="62"/>
  <c r="B11" i="62"/>
  <c r="I10" i="62"/>
  <c r="H10" i="62"/>
  <c r="F10" i="62"/>
  <c r="E10" i="62"/>
  <c r="C10" i="62"/>
  <c r="B10" i="62"/>
  <c r="I9" i="62"/>
  <c r="H9" i="62"/>
  <c r="F9" i="62"/>
  <c r="E9" i="62"/>
  <c r="C9" i="62"/>
  <c r="B9" i="62"/>
  <c r="I8" i="62"/>
  <c r="H8" i="62"/>
  <c r="F8" i="62"/>
  <c r="E8" i="62"/>
  <c r="C8" i="62"/>
  <c r="B8" i="62"/>
  <c r="I7" i="62"/>
  <c r="H7" i="62"/>
  <c r="F7" i="62"/>
  <c r="E7" i="62"/>
  <c r="C7" i="62"/>
  <c r="B7" i="62"/>
  <c r="I6" i="62"/>
  <c r="H6" i="62"/>
  <c r="F6" i="62"/>
  <c r="E6" i="62"/>
  <c r="C6" i="62"/>
  <c r="B6" i="62"/>
  <c r="I5" i="62"/>
  <c r="H5" i="62"/>
  <c r="F5" i="62"/>
  <c r="E5" i="62"/>
  <c r="C5" i="62"/>
  <c r="B5" i="62"/>
  <c r="I4" i="62"/>
  <c r="H4" i="62"/>
  <c r="F4" i="62"/>
  <c r="E4" i="62"/>
  <c r="C4" i="62"/>
  <c r="B4" i="62"/>
  <c r="I3" i="62"/>
  <c r="H3" i="62"/>
  <c r="F3" i="62"/>
  <c r="E3" i="62"/>
  <c r="C3" i="62"/>
  <c r="B3" i="62"/>
  <c r="J8" i="19" l="1"/>
  <c r="J48" i="19"/>
  <c r="D3" i="62"/>
  <c r="J3" i="62"/>
  <c r="M4" i="62" s="1"/>
  <c r="J7" i="62"/>
  <c r="J19" i="62"/>
  <c r="J23" i="62"/>
  <c r="D4" i="62"/>
  <c r="J6" i="62"/>
  <c r="D20" i="62"/>
  <c r="J22" i="62"/>
  <c r="M5" i="62" s="1"/>
  <c r="G25" i="62"/>
  <c r="D28" i="62"/>
  <c r="G30" i="62"/>
  <c r="G33" i="62"/>
  <c r="D25" i="62"/>
  <c r="J9" i="62"/>
  <c r="G10" i="62"/>
  <c r="J11" i="62"/>
  <c r="G12" i="62"/>
  <c r="D13" i="62"/>
  <c r="D15" i="62"/>
  <c r="J15" i="62"/>
  <c r="D17" i="62"/>
  <c r="J17" i="62"/>
  <c r="G18" i="62"/>
  <c r="D33" i="62"/>
  <c r="D62" i="62"/>
  <c r="D66" i="62" s="1"/>
  <c r="G11" i="62"/>
  <c r="D14" i="62"/>
  <c r="J16" i="62"/>
  <c r="D22" i="62"/>
  <c r="D6" i="62"/>
  <c r="D8" i="62"/>
  <c r="G9" i="62"/>
  <c r="D12" i="62"/>
  <c r="G14" i="62"/>
  <c r="G20" i="62"/>
  <c r="D21" i="62"/>
  <c r="G22" i="62"/>
  <c r="D23" i="62"/>
  <c r="J24" i="62"/>
  <c r="G27" i="62"/>
  <c r="J32" i="62"/>
  <c r="J35" i="62" s="1"/>
  <c r="J36" i="62"/>
  <c r="J47" i="62" s="1"/>
  <c r="D9" i="62"/>
  <c r="G19" i="62"/>
  <c r="J56" i="62"/>
  <c r="G3" i="62"/>
  <c r="G4" i="62"/>
  <c r="D5" i="62"/>
  <c r="J5" i="62"/>
  <c r="G6" i="62"/>
  <c r="D7" i="62"/>
  <c r="J14" i="62"/>
  <c r="G17" i="62"/>
  <c r="J25" i="62"/>
  <c r="G26" i="62"/>
  <c r="J27" i="62"/>
  <c r="G28" i="62"/>
  <c r="J33" i="62"/>
  <c r="G34" i="62"/>
  <c r="J48" i="62"/>
  <c r="J62" i="62"/>
  <c r="J64" i="62" s="1"/>
  <c r="J4" i="62"/>
  <c r="G5" i="62"/>
  <c r="G8" i="62"/>
  <c r="D10" i="62"/>
  <c r="J10" i="62"/>
  <c r="J13" i="62"/>
  <c r="G15" i="62"/>
  <c r="D16" i="62"/>
  <c r="D19" i="62"/>
  <c r="J20" i="62"/>
  <c r="G21" i="62"/>
  <c r="G24" i="62"/>
  <c r="D26" i="62"/>
  <c r="J26" i="62"/>
  <c r="D30" i="62"/>
  <c r="J30" i="62"/>
  <c r="G32" i="62"/>
  <c r="G35" i="62" s="1"/>
  <c r="D34" i="62"/>
  <c r="J34" i="62"/>
  <c r="D36" i="62"/>
  <c r="J42" i="62"/>
  <c r="G7" i="62"/>
  <c r="D11" i="62"/>
  <c r="J12" i="62"/>
  <c r="G13" i="62"/>
  <c r="G16" i="62"/>
  <c r="D18" i="62"/>
  <c r="J18" i="62"/>
  <c r="J21" i="62"/>
  <c r="G23" i="62"/>
  <c r="D24" i="62"/>
  <c r="D27" i="62"/>
  <c r="J28" i="62"/>
  <c r="D32" i="62"/>
  <c r="D35" i="62" s="1"/>
  <c r="G36" i="62"/>
  <c r="J8" i="62"/>
  <c r="G62" i="62"/>
  <c r="G65" i="62" s="1"/>
  <c r="F29" i="62"/>
  <c r="D78" i="54"/>
  <c r="E78" i="54"/>
  <c r="F78" i="54"/>
  <c r="G78" i="54"/>
  <c r="H78" i="54"/>
  <c r="I78" i="54"/>
  <c r="C78" i="54"/>
  <c r="I69" i="54"/>
  <c r="H69" i="54"/>
  <c r="G69" i="54"/>
  <c r="F69" i="54"/>
  <c r="E69" i="54"/>
  <c r="D69" i="54"/>
  <c r="C69" i="54"/>
  <c r="J9" i="19" l="1"/>
  <c r="J49" i="19"/>
  <c r="J46" i="62"/>
  <c r="J44" i="62"/>
  <c r="J45" i="62"/>
  <c r="M6" i="62"/>
  <c r="M7" i="62" s="1"/>
  <c r="J51" i="62"/>
  <c r="J55" i="62"/>
  <c r="J53" i="62"/>
  <c r="J43" i="62"/>
  <c r="M8" i="62"/>
  <c r="J60" i="62"/>
  <c r="D65" i="62"/>
  <c r="D58" i="62"/>
  <c r="J66" i="62"/>
  <c r="J39" i="62"/>
  <c r="G41" i="62"/>
  <c r="J63" i="62"/>
  <c r="D64" i="62"/>
  <c r="D63" i="62"/>
  <c r="G53" i="62"/>
  <c r="G56" i="62"/>
  <c r="J52" i="62"/>
  <c r="G59" i="62"/>
  <c r="G47" i="62"/>
  <c r="G48" i="62"/>
  <c r="G55" i="62"/>
  <c r="G54" i="62"/>
  <c r="G43" i="62"/>
  <c r="J58" i="62"/>
  <c r="J41" i="62"/>
  <c r="J59" i="62"/>
  <c r="J38" i="62"/>
  <c r="G44" i="62"/>
  <c r="G46" i="62"/>
  <c r="G60" i="62"/>
  <c r="G52" i="62"/>
  <c r="G39" i="62"/>
  <c r="J57" i="62"/>
  <c r="J40" i="62"/>
  <c r="J65" i="62"/>
  <c r="J49" i="62"/>
  <c r="J54" i="62"/>
  <c r="G57" i="62"/>
  <c r="G40" i="62"/>
  <c r="G38" i="62"/>
  <c r="G58" i="62"/>
  <c r="G49" i="62"/>
  <c r="G66" i="62"/>
  <c r="D52" i="62"/>
  <c r="D57" i="62"/>
  <c r="D54" i="62"/>
  <c r="D45" i="62"/>
  <c r="D42" i="62"/>
  <c r="D38" i="62"/>
  <c r="G45" i="62"/>
  <c r="D56" i="62"/>
  <c r="D47" i="62"/>
  <c r="D39" i="62"/>
  <c r="G51" i="62"/>
  <c r="G42" i="62"/>
  <c r="D59" i="62"/>
  <c r="D55" i="62"/>
  <c r="D51" i="62"/>
  <c r="D46" i="62"/>
  <c r="G64" i="62"/>
  <c r="D41" i="62"/>
  <c r="D44" i="62"/>
  <c r="D60" i="62"/>
  <c r="D43" i="62"/>
  <c r="G63" i="62"/>
  <c r="D53" i="62"/>
  <c r="D48" i="62"/>
  <c r="D49" i="62"/>
  <c r="D40" i="62"/>
  <c r="D34" i="60"/>
  <c r="C34" i="60"/>
  <c r="B34" i="60"/>
  <c r="F34" i="59"/>
  <c r="E34" i="59"/>
  <c r="D34" i="59"/>
  <c r="C34" i="59"/>
  <c r="B34" i="59"/>
  <c r="J10" i="19" l="1"/>
  <c r="J50" i="19"/>
  <c r="M9" i="62"/>
  <c r="F26" i="59"/>
  <c r="E26" i="59"/>
  <c r="D26" i="59"/>
  <c r="C26" i="59"/>
  <c r="B26" i="59"/>
  <c r="D26" i="60"/>
  <c r="C26" i="60"/>
  <c r="B26" i="60"/>
  <c r="J51" i="19" l="1"/>
  <c r="J11" i="19"/>
  <c r="J35" i="60"/>
  <c r="E62" i="60"/>
  <c r="E64" i="60" s="1"/>
  <c r="E60" i="60"/>
  <c r="E57" i="60"/>
  <c r="E56" i="60"/>
  <c r="E53" i="60"/>
  <c r="E52" i="60"/>
  <c r="E48" i="60"/>
  <c r="E47" i="60"/>
  <c r="E44" i="60"/>
  <c r="E43" i="60"/>
  <c r="E40" i="60"/>
  <c r="E39" i="60"/>
  <c r="E3" i="60"/>
  <c r="I66" i="60"/>
  <c r="I65" i="60"/>
  <c r="I64" i="60"/>
  <c r="J64" i="60" s="1"/>
  <c r="I63" i="60"/>
  <c r="I62" i="60"/>
  <c r="I61" i="60"/>
  <c r="I60" i="60"/>
  <c r="I59" i="60"/>
  <c r="J59" i="60" s="1"/>
  <c r="I58" i="60"/>
  <c r="J58" i="60" s="1"/>
  <c r="I57" i="60"/>
  <c r="I56" i="60"/>
  <c r="I55" i="60"/>
  <c r="J55" i="60" s="1"/>
  <c r="I54" i="60"/>
  <c r="J54" i="60" s="1"/>
  <c r="I53" i="60"/>
  <c r="I52" i="60"/>
  <c r="I51" i="60"/>
  <c r="J51" i="60" s="1"/>
  <c r="I49" i="60"/>
  <c r="J49" i="60" s="1"/>
  <c r="I48" i="60"/>
  <c r="J48" i="60" s="1"/>
  <c r="I47" i="60"/>
  <c r="I46" i="60"/>
  <c r="I45" i="60"/>
  <c r="J45" i="60" s="1"/>
  <c r="I44" i="60"/>
  <c r="J44" i="60" s="1"/>
  <c r="I43" i="60"/>
  <c r="I42" i="60"/>
  <c r="I41" i="60"/>
  <c r="J41" i="60" s="1"/>
  <c r="I40" i="60"/>
  <c r="J40" i="60" s="1"/>
  <c r="I39" i="60"/>
  <c r="I38" i="60"/>
  <c r="I37" i="60"/>
  <c r="I36" i="60"/>
  <c r="I35" i="60"/>
  <c r="I34" i="60"/>
  <c r="I33" i="60"/>
  <c r="I32" i="60"/>
  <c r="J32" i="60" s="1"/>
  <c r="I31" i="60"/>
  <c r="I30" i="60"/>
  <c r="I29" i="60"/>
  <c r="I28" i="60"/>
  <c r="J28" i="60" s="1"/>
  <c r="I27" i="60"/>
  <c r="I26" i="60"/>
  <c r="I25" i="60"/>
  <c r="I24" i="60"/>
  <c r="I23" i="60"/>
  <c r="I22" i="60"/>
  <c r="J22" i="60" s="1"/>
  <c r="I21" i="60"/>
  <c r="J21" i="60" s="1"/>
  <c r="I20" i="60"/>
  <c r="I19" i="60"/>
  <c r="I18" i="60"/>
  <c r="J18" i="60" s="1"/>
  <c r="I17" i="60"/>
  <c r="J17" i="60" s="1"/>
  <c r="I16" i="60"/>
  <c r="J16" i="60" s="1"/>
  <c r="I15" i="60"/>
  <c r="I14" i="60"/>
  <c r="J14" i="60" s="1"/>
  <c r="I13" i="60"/>
  <c r="I12" i="60"/>
  <c r="J12" i="60" s="1"/>
  <c r="I11" i="60"/>
  <c r="I10" i="60"/>
  <c r="J10" i="60" s="1"/>
  <c r="I9" i="60"/>
  <c r="I8" i="60"/>
  <c r="I7" i="60"/>
  <c r="I6" i="60"/>
  <c r="I5" i="60"/>
  <c r="J5" i="60" s="1"/>
  <c r="I4" i="60"/>
  <c r="G66" i="60"/>
  <c r="F66" i="60"/>
  <c r="G65" i="60"/>
  <c r="F65" i="60"/>
  <c r="G64" i="60"/>
  <c r="F64" i="60"/>
  <c r="G63" i="60"/>
  <c r="F63" i="60"/>
  <c r="G62" i="60"/>
  <c r="F62" i="60"/>
  <c r="G61" i="60"/>
  <c r="F61" i="60"/>
  <c r="G60" i="60"/>
  <c r="F60" i="60"/>
  <c r="G59" i="60"/>
  <c r="F59" i="60"/>
  <c r="G58" i="60"/>
  <c r="F58" i="60"/>
  <c r="G57" i="60"/>
  <c r="F57" i="60"/>
  <c r="G56" i="60"/>
  <c r="F56" i="60"/>
  <c r="G55" i="60"/>
  <c r="F55" i="60"/>
  <c r="G54" i="60"/>
  <c r="F54" i="60"/>
  <c r="G53" i="60"/>
  <c r="F53" i="60"/>
  <c r="G52" i="60"/>
  <c r="F52" i="60"/>
  <c r="G51" i="60"/>
  <c r="F51" i="60"/>
  <c r="G49" i="60"/>
  <c r="F49" i="60"/>
  <c r="G48" i="60"/>
  <c r="F48" i="60"/>
  <c r="G47" i="60"/>
  <c r="F47" i="60"/>
  <c r="G46" i="60"/>
  <c r="F46" i="60"/>
  <c r="G45" i="60"/>
  <c r="F45" i="60"/>
  <c r="G44" i="60"/>
  <c r="F44" i="60"/>
  <c r="G43" i="60"/>
  <c r="F43" i="60"/>
  <c r="G42" i="60"/>
  <c r="F42" i="60"/>
  <c r="G41" i="60"/>
  <c r="F41" i="60"/>
  <c r="G40" i="60"/>
  <c r="F40" i="60"/>
  <c r="G39" i="60"/>
  <c r="F39" i="60"/>
  <c r="G38" i="60"/>
  <c r="F38" i="60"/>
  <c r="G37" i="60"/>
  <c r="F37" i="60"/>
  <c r="G36" i="60"/>
  <c r="F36" i="60"/>
  <c r="G35" i="60"/>
  <c r="F35" i="60"/>
  <c r="G34" i="60"/>
  <c r="F34" i="60"/>
  <c r="G33" i="60"/>
  <c r="F33" i="60"/>
  <c r="G32" i="60"/>
  <c r="F32" i="60"/>
  <c r="G31" i="60"/>
  <c r="F31" i="60"/>
  <c r="G30" i="60"/>
  <c r="F30" i="60"/>
  <c r="G29" i="60"/>
  <c r="F29" i="60"/>
  <c r="G28" i="60"/>
  <c r="F28" i="60"/>
  <c r="G27" i="60"/>
  <c r="F27" i="60"/>
  <c r="H27" i="60" s="1"/>
  <c r="G26" i="60"/>
  <c r="F26" i="60"/>
  <c r="G25" i="60"/>
  <c r="H25" i="60" s="1"/>
  <c r="F25" i="60"/>
  <c r="G24" i="60"/>
  <c r="F24" i="60"/>
  <c r="G23" i="60"/>
  <c r="F23" i="60"/>
  <c r="H23" i="60" s="1"/>
  <c r="G22" i="60"/>
  <c r="F22" i="60"/>
  <c r="G21" i="60"/>
  <c r="F21" i="60"/>
  <c r="H21" i="60" s="1"/>
  <c r="G20" i="60"/>
  <c r="F20" i="60"/>
  <c r="G19" i="60"/>
  <c r="F19" i="60"/>
  <c r="H19" i="60" s="1"/>
  <c r="G18" i="60"/>
  <c r="F18" i="60"/>
  <c r="G17" i="60"/>
  <c r="F17" i="60"/>
  <c r="G16" i="60"/>
  <c r="F16" i="60"/>
  <c r="G15" i="60"/>
  <c r="F15" i="60"/>
  <c r="H15" i="60" s="1"/>
  <c r="G14" i="60"/>
  <c r="F14" i="60"/>
  <c r="G13" i="60"/>
  <c r="F13" i="60"/>
  <c r="H13" i="60" s="1"/>
  <c r="G12" i="60"/>
  <c r="F12" i="60"/>
  <c r="G11" i="60"/>
  <c r="F11" i="60"/>
  <c r="H11" i="60" s="1"/>
  <c r="G10" i="60"/>
  <c r="F10" i="60"/>
  <c r="G9" i="60"/>
  <c r="F9" i="60"/>
  <c r="H9" i="60" s="1"/>
  <c r="G8" i="60"/>
  <c r="F8" i="60"/>
  <c r="G7" i="60"/>
  <c r="F7" i="60"/>
  <c r="H7" i="60" s="1"/>
  <c r="G6" i="60"/>
  <c r="F6" i="60"/>
  <c r="G5" i="60"/>
  <c r="F5" i="60"/>
  <c r="H5" i="60" s="1"/>
  <c r="G4" i="60"/>
  <c r="F4" i="60"/>
  <c r="I3" i="60"/>
  <c r="G3" i="60"/>
  <c r="F3" i="60"/>
  <c r="H3" i="60" s="1"/>
  <c r="J66" i="60"/>
  <c r="J65" i="60"/>
  <c r="J63" i="60"/>
  <c r="J62" i="60"/>
  <c r="H62" i="60"/>
  <c r="J60" i="60"/>
  <c r="J57" i="60"/>
  <c r="J56" i="60"/>
  <c r="J53" i="60"/>
  <c r="J52" i="60"/>
  <c r="J47" i="60"/>
  <c r="J46" i="60"/>
  <c r="J43" i="60"/>
  <c r="J42" i="60"/>
  <c r="J39" i="60"/>
  <c r="J38" i="60"/>
  <c r="J36" i="60"/>
  <c r="E36" i="60"/>
  <c r="E59" i="60" s="1"/>
  <c r="J34" i="60"/>
  <c r="E34" i="60"/>
  <c r="J33" i="60"/>
  <c r="H33" i="60"/>
  <c r="E33" i="60"/>
  <c r="E32" i="60"/>
  <c r="J31" i="60"/>
  <c r="J30" i="60"/>
  <c r="E30" i="60"/>
  <c r="E28" i="60"/>
  <c r="J27" i="60"/>
  <c r="E27" i="60"/>
  <c r="J26" i="60"/>
  <c r="E26" i="60"/>
  <c r="J25" i="60"/>
  <c r="E25" i="60"/>
  <c r="J24" i="60"/>
  <c r="E24" i="60"/>
  <c r="J23" i="60"/>
  <c r="E23" i="60"/>
  <c r="E22" i="60"/>
  <c r="E21" i="60"/>
  <c r="J20" i="60"/>
  <c r="E20" i="60"/>
  <c r="J19" i="60"/>
  <c r="E19" i="60"/>
  <c r="E18" i="60"/>
  <c r="H17" i="60"/>
  <c r="E17" i="60"/>
  <c r="E16" i="60"/>
  <c r="J15" i="60"/>
  <c r="E15" i="60"/>
  <c r="E14" i="60"/>
  <c r="J13" i="60"/>
  <c r="E13" i="60"/>
  <c r="E12" i="60"/>
  <c r="J11" i="60"/>
  <c r="E11" i="60"/>
  <c r="E10" i="60"/>
  <c r="J9" i="60"/>
  <c r="E9" i="60"/>
  <c r="J8" i="60"/>
  <c r="E8" i="60"/>
  <c r="J7" i="60"/>
  <c r="E7" i="60"/>
  <c r="J6" i="60"/>
  <c r="E6" i="60"/>
  <c r="E5" i="60"/>
  <c r="J4" i="60"/>
  <c r="E4" i="60"/>
  <c r="J3" i="60"/>
  <c r="K66" i="59"/>
  <c r="L66" i="59" s="1"/>
  <c r="K65" i="59"/>
  <c r="L65" i="59" s="1"/>
  <c r="K64" i="59"/>
  <c r="L64" i="59" s="1"/>
  <c r="K63" i="59"/>
  <c r="L63" i="59" s="1"/>
  <c r="K62" i="59"/>
  <c r="L62" i="59" s="1"/>
  <c r="K60" i="59"/>
  <c r="L60" i="59" s="1"/>
  <c r="K59" i="59"/>
  <c r="L59" i="59" s="1"/>
  <c r="K58" i="59"/>
  <c r="L58" i="59" s="1"/>
  <c r="K57" i="59"/>
  <c r="L57" i="59" s="1"/>
  <c r="K56" i="59"/>
  <c r="L56" i="59" s="1"/>
  <c r="K55" i="59"/>
  <c r="L55" i="59" s="1"/>
  <c r="K54" i="59"/>
  <c r="L54" i="59" s="1"/>
  <c r="K53" i="59"/>
  <c r="L53" i="59" s="1"/>
  <c r="K52" i="59"/>
  <c r="L52" i="59" s="1"/>
  <c r="K51" i="59"/>
  <c r="L51" i="59" s="1"/>
  <c r="K50" i="59"/>
  <c r="L50" i="59" s="1"/>
  <c r="K49" i="59"/>
  <c r="L49" i="59" s="1"/>
  <c r="K48" i="59"/>
  <c r="L48" i="59" s="1"/>
  <c r="K47" i="59"/>
  <c r="L47" i="59" s="1"/>
  <c r="K46" i="59"/>
  <c r="L46" i="59" s="1"/>
  <c r="K45" i="59"/>
  <c r="L45" i="59" s="1"/>
  <c r="K44" i="59"/>
  <c r="L44" i="59" s="1"/>
  <c r="K43" i="59"/>
  <c r="L43" i="59" s="1"/>
  <c r="K42" i="59"/>
  <c r="L42" i="59" s="1"/>
  <c r="K41" i="59"/>
  <c r="L41" i="59" s="1"/>
  <c r="K40" i="59"/>
  <c r="L40" i="59" s="1"/>
  <c r="K39" i="59"/>
  <c r="L39" i="59" s="1"/>
  <c r="K38" i="59"/>
  <c r="L38" i="59" s="1"/>
  <c r="K36" i="59"/>
  <c r="L36" i="59" s="1"/>
  <c r="K35" i="59"/>
  <c r="K34" i="59"/>
  <c r="L34" i="59" s="1"/>
  <c r="K33" i="59"/>
  <c r="L33" i="59" s="1"/>
  <c r="K32" i="59"/>
  <c r="L32" i="59" s="1"/>
  <c r="K31" i="59"/>
  <c r="K30" i="59"/>
  <c r="L30" i="59" s="1"/>
  <c r="K29" i="59"/>
  <c r="K28" i="59"/>
  <c r="L28" i="59" s="1"/>
  <c r="K27" i="59"/>
  <c r="L27" i="59" s="1"/>
  <c r="K26" i="59"/>
  <c r="L26" i="59" s="1"/>
  <c r="K25" i="59"/>
  <c r="L25" i="59" s="1"/>
  <c r="K24" i="59"/>
  <c r="L24" i="59" s="1"/>
  <c r="K23" i="59"/>
  <c r="L23" i="59" s="1"/>
  <c r="K21" i="59"/>
  <c r="L21" i="59" s="1"/>
  <c r="K20" i="59"/>
  <c r="L20" i="59" s="1"/>
  <c r="K19" i="59"/>
  <c r="L19" i="59" s="1"/>
  <c r="K18" i="59"/>
  <c r="L18" i="59" s="1"/>
  <c r="K17" i="59"/>
  <c r="L17" i="59" s="1"/>
  <c r="K16" i="59"/>
  <c r="L16" i="59" s="1"/>
  <c r="K15" i="59"/>
  <c r="L15" i="59" s="1"/>
  <c r="K14" i="59"/>
  <c r="L14" i="59" s="1"/>
  <c r="K13" i="59"/>
  <c r="L13" i="59" s="1"/>
  <c r="K12" i="59"/>
  <c r="L12" i="59" s="1"/>
  <c r="K11" i="59"/>
  <c r="L11" i="59" s="1"/>
  <c r="K10" i="59"/>
  <c r="L10" i="59" s="1"/>
  <c r="K9" i="59"/>
  <c r="L9" i="59" s="1"/>
  <c r="K8" i="59"/>
  <c r="L8" i="59" s="1"/>
  <c r="K7" i="59"/>
  <c r="L7" i="59" s="1"/>
  <c r="K6" i="59"/>
  <c r="L6" i="59" s="1"/>
  <c r="K5" i="59"/>
  <c r="L5" i="59" s="1"/>
  <c r="K4" i="59"/>
  <c r="L4" i="59" s="1"/>
  <c r="K3" i="59"/>
  <c r="L3" i="59" s="1"/>
  <c r="I66" i="59"/>
  <c r="H66" i="59"/>
  <c r="I65" i="59"/>
  <c r="H65" i="59"/>
  <c r="I64" i="59"/>
  <c r="H64" i="59"/>
  <c r="I63" i="59"/>
  <c r="H63" i="59"/>
  <c r="I62" i="59"/>
  <c r="H62" i="59"/>
  <c r="J62" i="59" s="1"/>
  <c r="I60" i="59"/>
  <c r="H60" i="59"/>
  <c r="I59" i="59"/>
  <c r="H59" i="59"/>
  <c r="I58" i="59"/>
  <c r="H58" i="59"/>
  <c r="I57" i="59"/>
  <c r="H57" i="59"/>
  <c r="I56" i="59"/>
  <c r="H56" i="59"/>
  <c r="I55" i="59"/>
  <c r="H55" i="59"/>
  <c r="I54" i="59"/>
  <c r="H54" i="59"/>
  <c r="I53" i="59"/>
  <c r="H53" i="59"/>
  <c r="I52" i="59"/>
  <c r="H52" i="59"/>
  <c r="I51" i="59"/>
  <c r="H51" i="59"/>
  <c r="I49" i="59"/>
  <c r="H49" i="59"/>
  <c r="I48" i="59"/>
  <c r="H48" i="59"/>
  <c r="I47" i="59"/>
  <c r="H47" i="59"/>
  <c r="I46" i="59"/>
  <c r="H46" i="59"/>
  <c r="I45" i="59"/>
  <c r="H45" i="59"/>
  <c r="I44" i="59"/>
  <c r="H44" i="59"/>
  <c r="I43" i="59"/>
  <c r="H43" i="59"/>
  <c r="I42" i="59"/>
  <c r="H42" i="59"/>
  <c r="I41" i="59"/>
  <c r="H41" i="59"/>
  <c r="I40" i="59"/>
  <c r="H40" i="59"/>
  <c r="I39" i="59"/>
  <c r="H39" i="59"/>
  <c r="I38" i="59"/>
  <c r="H38" i="59"/>
  <c r="I36" i="59"/>
  <c r="H36" i="59"/>
  <c r="J36" i="59" s="1"/>
  <c r="I35" i="59"/>
  <c r="H35" i="59"/>
  <c r="I34" i="59"/>
  <c r="H34" i="59"/>
  <c r="J34" i="59" s="1"/>
  <c r="I33" i="59"/>
  <c r="H33" i="59"/>
  <c r="I32" i="59"/>
  <c r="H32" i="59"/>
  <c r="J32" i="59" s="1"/>
  <c r="I31" i="59"/>
  <c r="H31" i="59"/>
  <c r="I30" i="59"/>
  <c r="H30" i="59"/>
  <c r="I29" i="59"/>
  <c r="H29" i="59"/>
  <c r="I28" i="59"/>
  <c r="H28" i="59"/>
  <c r="J28" i="59" s="1"/>
  <c r="I27" i="59"/>
  <c r="H27" i="59"/>
  <c r="J27" i="59" s="1"/>
  <c r="I26" i="59"/>
  <c r="H26" i="59"/>
  <c r="J26" i="59" s="1"/>
  <c r="I25" i="59"/>
  <c r="H25" i="59"/>
  <c r="I24" i="59"/>
  <c r="H24" i="59"/>
  <c r="J24" i="59" s="1"/>
  <c r="I23" i="59"/>
  <c r="H23" i="59"/>
  <c r="I21" i="59"/>
  <c r="H21" i="59"/>
  <c r="J21" i="59" s="1"/>
  <c r="I20" i="59"/>
  <c r="H20" i="59"/>
  <c r="I19" i="59"/>
  <c r="H19" i="59"/>
  <c r="J19" i="59" s="1"/>
  <c r="I18" i="59"/>
  <c r="H18" i="59"/>
  <c r="I17" i="59"/>
  <c r="H17" i="59"/>
  <c r="J17" i="59" s="1"/>
  <c r="I16" i="59"/>
  <c r="H16" i="59"/>
  <c r="I15" i="59"/>
  <c r="H15" i="59"/>
  <c r="J15" i="59" s="1"/>
  <c r="I14" i="59"/>
  <c r="H14" i="59"/>
  <c r="I13" i="59"/>
  <c r="H13" i="59"/>
  <c r="J13" i="59" s="1"/>
  <c r="I12" i="59"/>
  <c r="H12" i="59"/>
  <c r="I11" i="59"/>
  <c r="H11" i="59"/>
  <c r="J11" i="59" s="1"/>
  <c r="I10" i="59"/>
  <c r="H10" i="59"/>
  <c r="I9" i="59"/>
  <c r="H9" i="59"/>
  <c r="J9" i="59" s="1"/>
  <c r="I8" i="59"/>
  <c r="H8" i="59"/>
  <c r="I7" i="59"/>
  <c r="H7" i="59"/>
  <c r="J7" i="59" s="1"/>
  <c r="I6" i="59"/>
  <c r="H6" i="59"/>
  <c r="I5" i="59"/>
  <c r="H5" i="59"/>
  <c r="J5" i="59" s="1"/>
  <c r="I4" i="59"/>
  <c r="H4" i="59"/>
  <c r="I3" i="59"/>
  <c r="H3" i="59"/>
  <c r="J3" i="59" s="1"/>
  <c r="G62" i="59"/>
  <c r="G66" i="59" s="1"/>
  <c r="G36" i="59"/>
  <c r="G60" i="59" s="1"/>
  <c r="G34" i="59"/>
  <c r="G33" i="59"/>
  <c r="G32" i="59"/>
  <c r="G30" i="59"/>
  <c r="G28" i="59"/>
  <c r="G27" i="59"/>
  <c r="G26" i="59"/>
  <c r="G25" i="59"/>
  <c r="G24" i="59"/>
  <c r="G23" i="59"/>
  <c r="I22" i="59"/>
  <c r="K22" i="59"/>
  <c r="L22" i="59" s="1"/>
  <c r="G21" i="59"/>
  <c r="G20" i="59"/>
  <c r="G19" i="59"/>
  <c r="G18" i="59"/>
  <c r="G17" i="59"/>
  <c r="G16" i="59"/>
  <c r="G15" i="59"/>
  <c r="G14" i="59"/>
  <c r="G13" i="59"/>
  <c r="G12" i="59"/>
  <c r="G11" i="59"/>
  <c r="G10" i="59"/>
  <c r="G9" i="59"/>
  <c r="G8" i="59"/>
  <c r="G7" i="59"/>
  <c r="G6" i="59"/>
  <c r="G5" i="59"/>
  <c r="G4" i="59"/>
  <c r="G3" i="59"/>
  <c r="J12" i="19" l="1"/>
  <c r="J52" i="19"/>
  <c r="J30" i="59"/>
  <c r="H35" i="60"/>
  <c r="J33" i="59"/>
  <c r="J64" i="59"/>
  <c r="J66" i="59"/>
  <c r="J63" i="59"/>
  <c r="J65" i="59"/>
  <c r="J39" i="59"/>
  <c r="J43" i="59"/>
  <c r="J47" i="59"/>
  <c r="J49" i="59"/>
  <c r="J52" i="59"/>
  <c r="J54" i="59"/>
  <c r="J56" i="59"/>
  <c r="J60" i="59"/>
  <c r="J40" i="59"/>
  <c r="J42" i="59"/>
  <c r="J44" i="59"/>
  <c r="J46" i="59"/>
  <c r="J48" i="59"/>
  <c r="J51" i="59"/>
  <c r="J53" i="59"/>
  <c r="J55" i="59"/>
  <c r="J57" i="59"/>
  <c r="J59" i="59"/>
  <c r="J41" i="59"/>
  <c r="J45" i="59"/>
  <c r="J58" i="59"/>
  <c r="G48" i="59"/>
  <c r="E66" i="60"/>
  <c r="E63" i="60"/>
  <c r="E65" i="60"/>
  <c r="E41" i="60"/>
  <c r="E45" i="60"/>
  <c r="E49" i="60"/>
  <c r="E54" i="60"/>
  <c r="E58" i="60"/>
  <c r="E38" i="60"/>
  <c r="E42" i="60"/>
  <c r="E46" i="60"/>
  <c r="E51" i="60"/>
  <c r="E55" i="60"/>
  <c r="J4" i="59"/>
  <c r="J6" i="59"/>
  <c r="J8" i="59"/>
  <c r="J10" i="59"/>
  <c r="J12" i="59"/>
  <c r="J14" i="59"/>
  <c r="J16" i="59"/>
  <c r="J18" i="59"/>
  <c r="J20" i="59"/>
  <c r="J23" i="59"/>
  <c r="J25" i="59"/>
  <c r="H4" i="60"/>
  <c r="H6" i="60"/>
  <c r="H8" i="60"/>
  <c r="H10" i="60"/>
  <c r="H12" i="60"/>
  <c r="H14" i="60"/>
  <c r="H16" i="60"/>
  <c r="H18" i="60"/>
  <c r="H20" i="60"/>
  <c r="H22" i="60"/>
  <c r="H24" i="60"/>
  <c r="H26" i="60"/>
  <c r="H28" i="60"/>
  <c r="H30" i="60"/>
  <c r="H32" i="60"/>
  <c r="H34" i="60"/>
  <c r="H36" i="60"/>
  <c r="H48" i="60" s="1"/>
  <c r="H38" i="60"/>
  <c r="H39" i="60"/>
  <c r="H56" i="60"/>
  <c r="H57" i="60"/>
  <c r="H54" i="60"/>
  <c r="H55" i="60"/>
  <c r="H65" i="60"/>
  <c r="H66" i="60"/>
  <c r="H42" i="60"/>
  <c r="H43" i="60"/>
  <c r="H60" i="60"/>
  <c r="H63" i="60"/>
  <c r="H64" i="60"/>
  <c r="G57" i="59"/>
  <c r="G40" i="59"/>
  <c r="J38" i="59"/>
  <c r="G42" i="59"/>
  <c r="G51" i="59"/>
  <c r="G59" i="59"/>
  <c r="H22" i="59"/>
  <c r="J22" i="59" s="1"/>
  <c r="G44" i="59"/>
  <c r="G53" i="59"/>
  <c r="G65" i="59"/>
  <c r="G38" i="59"/>
  <c r="G46" i="59"/>
  <c r="G55" i="59"/>
  <c r="G41" i="59"/>
  <c r="G45" i="59"/>
  <c r="G49" i="59"/>
  <c r="G54" i="59"/>
  <c r="G58" i="59"/>
  <c r="G64" i="59"/>
  <c r="G39" i="59"/>
  <c r="G43" i="59"/>
  <c r="G47" i="59"/>
  <c r="G52" i="59"/>
  <c r="G56" i="59"/>
  <c r="G22" i="59"/>
  <c r="D57" i="54"/>
  <c r="E57" i="54"/>
  <c r="F57" i="54"/>
  <c r="G57" i="54"/>
  <c r="H57" i="54"/>
  <c r="I57" i="54"/>
  <c r="C57" i="54"/>
  <c r="D48" i="54"/>
  <c r="E48" i="54"/>
  <c r="F48" i="54"/>
  <c r="G48" i="54"/>
  <c r="H48" i="54"/>
  <c r="I48" i="54"/>
  <c r="C48" i="54"/>
  <c r="J53" i="19" l="1"/>
  <c r="J13" i="19"/>
  <c r="H52" i="60"/>
  <c r="H44" i="60"/>
  <c r="H46" i="60"/>
  <c r="H53" i="60"/>
  <c r="H45" i="60"/>
  <c r="H47" i="60"/>
  <c r="H51" i="60"/>
  <c r="H41" i="60"/>
  <c r="H59" i="60"/>
  <c r="H49" i="60"/>
  <c r="H40" i="60"/>
  <c r="H58" i="60"/>
  <c r="H35" i="6"/>
  <c r="G35" i="6"/>
  <c r="E35" i="6"/>
  <c r="D35" i="6"/>
  <c r="H35" i="2"/>
  <c r="G35" i="2"/>
  <c r="E35" i="2"/>
  <c r="D35" i="2"/>
  <c r="H35" i="1"/>
  <c r="G35" i="1"/>
  <c r="E35" i="1"/>
  <c r="D35" i="1"/>
  <c r="G35" i="53"/>
  <c r="R35" i="53"/>
  <c r="S35" i="53" s="1"/>
  <c r="P35" i="53"/>
  <c r="Q35" i="53" s="1"/>
  <c r="N35" i="53"/>
  <c r="O35" i="53" s="1"/>
  <c r="L35" i="53"/>
  <c r="M35" i="53" s="1"/>
  <c r="J35" i="53"/>
  <c r="K35" i="53" s="1"/>
  <c r="H35" i="53"/>
  <c r="I35" i="53" s="1"/>
  <c r="F35" i="53"/>
  <c r="E35" i="53"/>
  <c r="AO35" i="52"/>
  <c r="AK35" i="52"/>
  <c r="AG35" i="52"/>
  <c r="AD35" i="52"/>
  <c r="Z35" i="52"/>
  <c r="AN35" i="52"/>
  <c r="AM35" i="52"/>
  <c r="AL35" i="52"/>
  <c r="AJ35" i="52"/>
  <c r="AI35" i="52"/>
  <c r="AH35" i="52"/>
  <c r="AF35" i="52"/>
  <c r="AE35" i="52"/>
  <c r="AC35" i="52"/>
  <c r="AB35" i="52"/>
  <c r="AA35" i="52"/>
  <c r="Y35" i="52"/>
  <c r="X35" i="52"/>
  <c r="W35" i="52"/>
  <c r="V35" i="52"/>
  <c r="U35" i="52"/>
  <c r="T35" i="52"/>
  <c r="S35" i="52"/>
  <c r="R35" i="52"/>
  <c r="M35" i="52"/>
  <c r="Q35" i="52"/>
  <c r="P35" i="52"/>
  <c r="O35" i="52"/>
  <c r="N35" i="52"/>
  <c r="L35" i="52"/>
  <c r="BQ35" i="51"/>
  <c r="BP35" i="51"/>
  <c r="BO35" i="51"/>
  <c r="BN35" i="51"/>
  <c r="BR35" i="51" s="1"/>
  <c r="BL35" i="51"/>
  <c r="BK35" i="51"/>
  <c r="BJ35" i="51"/>
  <c r="BI35" i="51"/>
  <c r="BH35" i="51"/>
  <c r="BM35" i="51" s="1"/>
  <c r="BG35" i="51"/>
  <c r="BE35" i="51"/>
  <c r="BF35" i="51" s="1"/>
  <c r="BD35" i="51"/>
  <c r="BC35" i="51"/>
  <c r="BA35" i="51"/>
  <c r="AZ35" i="51"/>
  <c r="AY35" i="51"/>
  <c r="AX35" i="51"/>
  <c r="AW35" i="51"/>
  <c r="BB35" i="51" s="1"/>
  <c r="BB38" i="51"/>
  <c r="AV35" i="51"/>
  <c r="AP66" i="51"/>
  <c r="AP65" i="51"/>
  <c r="AP64" i="51"/>
  <c r="AP63" i="51"/>
  <c r="AP60" i="51"/>
  <c r="AP59" i="51"/>
  <c r="AP58" i="51"/>
  <c r="AP57" i="51"/>
  <c r="AP56" i="51"/>
  <c r="AP55" i="51"/>
  <c r="AP54" i="51"/>
  <c r="AP53" i="51"/>
  <c r="AP52" i="51"/>
  <c r="AP51" i="51"/>
  <c r="AP49" i="51"/>
  <c r="AP48" i="51"/>
  <c r="AP47" i="51"/>
  <c r="AP46" i="51"/>
  <c r="AP45" i="51"/>
  <c r="AP44" i="51"/>
  <c r="AP43" i="51"/>
  <c r="AP42" i="51"/>
  <c r="AP41" i="51"/>
  <c r="AP40" i="51"/>
  <c r="AP39" i="51"/>
  <c r="AP38" i="51"/>
  <c r="AU35" i="51"/>
  <c r="AT35" i="51"/>
  <c r="AS35" i="51"/>
  <c r="AR35" i="51"/>
  <c r="AQ35" i="51"/>
  <c r="AP35" i="51"/>
  <c r="AI35" i="51"/>
  <c r="AO35" i="51"/>
  <c r="AN35" i="51"/>
  <c r="AM35" i="51"/>
  <c r="AL35" i="51"/>
  <c r="AK35" i="51"/>
  <c r="AJ35" i="51"/>
  <c r="AH35" i="51"/>
  <c r="AG35" i="51"/>
  <c r="AF35" i="51"/>
  <c r="AE35" i="51"/>
  <c r="AD35" i="51"/>
  <c r="AC35" i="51"/>
  <c r="AB35" i="51"/>
  <c r="AA35" i="51"/>
  <c r="Z35" i="51"/>
  <c r="Y35" i="51"/>
  <c r="X35" i="51"/>
  <c r="W35" i="51"/>
  <c r="V22" i="51"/>
  <c r="Q22" i="51"/>
  <c r="P22" i="51"/>
  <c r="W3" i="51"/>
  <c r="B31" i="15"/>
  <c r="B32" i="15" s="1"/>
  <c r="B33" i="15" s="1"/>
  <c r="B34" i="15" s="1"/>
  <c r="B35" i="15" s="1"/>
  <c r="B30" i="15"/>
  <c r="E29" i="15"/>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 r="B4" i="32"/>
  <c r="B5" i="32" s="1"/>
  <c r="B6" i="32" s="1"/>
  <c r="B7" i="32" s="1"/>
  <c r="B8" i="32" s="1"/>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M27" i="27"/>
  <c r="M26" i="27"/>
  <c r="M25" i="27"/>
  <c r="M24" i="27"/>
  <c r="M23" i="27"/>
  <c r="M22" i="27"/>
  <c r="M21" i="27"/>
  <c r="M20" i="27"/>
  <c r="M19" i="27"/>
  <c r="M18" i="27"/>
  <c r="M17" i="27"/>
  <c r="M16" i="27"/>
  <c r="M15" i="27"/>
  <c r="M14" i="27"/>
  <c r="M13" i="27"/>
  <c r="M12" i="27"/>
  <c r="M11" i="27"/>
  <c r="M10" i="27"/>
  <c r="M7" i="27"/>
  <c r="M5" i="27"/>
  <c r="M4" i="27"/>
  <c r="G49" i="39"/>
  <c r="G36" i="39"/>
  <c r="B161" i="14"/>
  <c r="B141" i="14"/>
  <c r="C5" i="30" s="1"/>
  <c r="B139" i="14"/>
  <c r="H5" i="30" s="1"/>
  <c r="B108" i="14"/>
  <c r="B107" i="14"/>
  <c r="B88" i="14"/>
  <c r="B87" i="14"/>
  <c r="B86" i="14"/>
  <c r="B85" i="14"/>
  <c r="B84" i="14"/>
  <c r="B83" i="14"/>
  <c r="B82" i="14"/>
  <c r="B20" i="14"/>
  <c r="B17" i="14"/>
  <c r="J54" i="19" l="1"/>
  <c r="J14" i="19"/>
  <c r="G16" i="39"/>
  <c r="C4" i="32" s="1"/>
  <c r="G12" i="39"/>
  <c r="G8" i="39"/>
  <c r="U6" i="16"/>
  <c r="J6" i="16"/>
  <c r="B3" i="30"/>
  <c r="B5" i="30"/>
  <c r="I5" i="30" s="1"/>
  <c r="J5" i="30" s="1"/>
  <c r="B19" i="14"/>
  <c r="M5" i="7"/>
  <c r="D5" i="7"/>
  <c r="G40" i="39"/>
  <c r="G46" i="39"/>
  <c r="G32" i="39"/>
  <c r="G66" i="39"/>
  <c r="J55" i="19" l="1"/>
  <c r="J15" i="19"/>
  <c r="G68" i="39"/>
  <c r="G69" i="39" s="1"/>
  <c r="C3" i="32"/>
  <c r="H7" i="19"/>
  <c r="O7" i="19" s="1"/>
  <c r="H6" i="19"/>
  <c r="O6" i="19" s="1"/>
  <c r="H8" i="19"/>
  <c r="H4" i="19"/>
  <c r="O4" i="19" s="1"/>
  <c r="H9" i="19"/>
  <c r="H5" i="19"/>
  <c r="O5" i="19" s="1"/>
  <c r="D5" i="30"/>
  <c r="G5" i="30" s="1"/>
  <c r="P4" i="19" l="1"/>
  <c r="P45" i="19" s="1"/>
  <c r="O45" i="19"/>
  <c r="P5" i="19"/>
  <c r="P46" i="19" s="1"/>
  <c r="O46" i="19"/>
  <c r="P6" i="19"/>
  <c r="P47" i="19" s="1"/>
  <c r="O47" i="19"/>
  <c r="J56" i="19"/>
  <c r="J16" i="19"/>
  <c r="P7" i="19"/>
  <c r="P48" i="19" s="1"/>
  <c r="O48" i="19"/>
  <c r="O9" i="19"/>
  <c r="P9" i="19" s="1"/>
  <c r="G71" i="39"/>
  <c r="G72" i="39" s="1"/>
  <c r="J57" i="19" l="1"/>
  <c r="J17" i="19"/>
  <c r="D6" i="32"/>
  <c r="D5" i="32"/>
  <c r="I38" i="54"/>
  <c r="I29" i="54"/>
  <c r="I20" i="54"/>
  <c r="I10" i="54"/>
  <c r="J58" i="19" l="1"/>
  <c r="J18" i="19"/>
  <c r="N8" i="32"/>
  <c r="H66" i="6"/>
  <c r="E66" i="6"/>
  <c r="D66" i="6"/>
  <c r="H65" i="6"/>
  <c r="E65" i="6"/>
  <c r="D65" i="6"/>
  <c r="H64" i="6"/>
  <c r="E64" i="6"/>
  <c r="D64" i="6"/>
  <c r="H63" i="6"/>
  <c r="E63" i="6"/>
  <c r="D63" i="6"/>
  <c r="H62" i="6"/>
  <c r="E62" i="6"/>
  <c r="D62" i="6"/>
  <c r="H66" i="2"/>
  <c r="G66" i="2"/>
  <c r="E66" i="2"/>
  <c r="D66" i="2"/>
  <c r="H65" i="2"/>
  <c r="G65" i="2"/>
  <c r="E65" i="2"/>
  <c r="D65" i="2"/>
  <c r="H64" i="2"/>
  <c r="G64" i="2"/>
  <c r="E64" i="2"/>
  <c r="D64" i="2"/>
  <c r="H63" i="2"/>
  <c r="G63" i="2"/>
  <c r="E63" i="2"/>
  <c r="D63" i="2"/>
  <c r="H62" i="2"/>
  <c r="G62" i="2"/>
  <c r="E62" i="2"/>
  <c r="D62" i="2"/>
  <c r="E66" i="1"/>
  <c r="H65" i="1"/>
  <c r="H64" i="1"/>
  <c r="G64" i="1"/>
  <c r="D63" i="1"/>
  <c r="E62" i="1"/>
  <c r="H60" i="1"/>
  <c r="D60" i="1"/>
  <c r="H59" i="1"/>
  <c r="D58" i="1"/>
  <c r="H56" i="1"/>
  <c r="D56" i="1"/>
  <c r="G55" i="1"/>
  <c r="G54" i="1"/>
  <c r="E53" i="1"/>
  <c r="D52" i="1"/>
  <c r="G51" i="1"/>
  <c r="H49" i="1"/>
  <c r="G49" i="1"/>
  <c r="E48" i="1"/>
  <c r="H47" i="1"/>
  <c r="E47" i="1"/>
  <c r="H46" i="1"/>
  <c r="G46" i="1"/>
  <c r="H45" i="1"/>
  <c r="E44" i="1"/>
  <c r="H43" i="1"/>
  <c r="D43" i="1"/>
  <c r="G40" i="1"/>
  <c r="H39" i="1"/>
  <c r="E39" i="1"/>
  <c r="D39" i="1"/>
  <c r="G38" i="1"/>
  <c r="E38" i="1"/>
  <c r="D38" i="1"/>
  <c r="E34" i="1"/>
  <c r="E30" i="1"/>
  <c r="E26" i="1"/>
  <c r="D21" i="1"/>
  <c r="D17" i="1"/>
  <c r="D13" i="1"/>
  <c r="G12" i="1"/>
  <c r="E10" i="1"/>
  <c r="G9" i="1"/>
  <c r="E9" i="1"/>
  <c r="E6" i="1"/>
  <c r="H5" i="1"/>
  <c r="E3" i="1"/>
  <c r="S66" i="53"/>
  <c r="H66" i="1" s="1"/>
  <c r="S65" i="53"/>
  <c r="S64" i="53"/>
  <c r="S63" i="53"/>
  <c r="H63" i="1" s="1"/>
  <c r="S62" i="53"/>
  <c r="H62" i="1" s="1"/>
  <c r="S60" i="53"/>
  <c r="S59" i="53"/>
  <c r="S58" i="53"/>
  <c r="H58" i="1" s="1"/>
  <c r="S57" i="53"/>
  <c r="H57" i="1" s="1"/>
  <c r="S56" i="53"/>
  <c r="S55" i="53"/>
  <c r="H55" i="1" s="1"/>
  <c r="S54" i="53"/>
  <c r="H54" i="1" s="1"/>
  <c r="S53" i="53"/>
  <c r="H53" i="1" s="1"/>
  <c r="S52" i="53"/>
  <c r="H52" i="1" s="1"/>
  <c r="S51" i="53"/>
  <c r="H51" i="1" s="1"/>
  <c r="S49" i="53"/>
  <c r="S48" i="53"/>
  <c r="H48" i="1" s="1"/>
  <c r="S47" i="53"/>
  <c r="S46" i="53"/>
  <c r="S45" i="53"/>
  <c r="S44" i="53"/>
  <c r="H44" i="1" s="1"/>
  <c r="S43" i="53"/>
  <c r="S42" i="53"/>
  <c r="H42" i="1" s="1"/>
  <c r="S41" i="53"/>
  <c r="H41" i="1" s="1"/>
  <c r="S40" i="53"/>
  <c r="H40" i="1" s="1"/>
  <c r="S39" i="53"/>
  <c r="S38" i="53"/>
  <c r="H38" i="1" s="1"/>
  <c r="S34" i="53"/>
  <c r="H34" i="1" s="1"/>
  <c r="S27" i="53"/>
  <c r="H27" i="1" s="1"/>
  <c r="S23" i="53"/>
  <c r="H23" i="1" s="1"/>
  <c r="S18" i="53"/>
  <c r="H18" i="1" s="1"/>
  <c r="S16" i="53"/>
  <c r="H16" i="1" s="1"/>
  <c r="S12" i="53"/>
  <c r="H12" i="1" s="1"/>
  <c r="S11" i="53"/>
  <c r="H11" i="1" s="1"/>
  <c r="S7" i="53"/>
  <c r="H7" i="1" s="1"/>
  <c r="S6" i="53"/>
  <c r="H6" i="1" s="1"/>
  <c r="Q66" i="53"/>
  <c r="G66" i="1" s="1"/>
  <c r="Q65" i="53"/>
  <c r="G65" i="1" s="1"/>
  <c r="Q64" i="53"/>
  <c r="Q63" i="53"/>
  <c r="G63" i="1" s="1"/>
  <c r="Q62" i="53"/>
  <c r="G62" i="1" s="1"/>
  <c r="Q60" i="53"/>
  <c r="G60" i="1" s="1"/>
  <c r="Q59" i="53"/>
  <c r="G59" i="1" s="1"/>
  <c r="Q58" i="53"/>
  <c r="G58" i="1" s="1"/>
  <c r="Q57" i="53"/>
  <c r="G57" i="1" s="1"/>
  <c r="Q56" i="53"/>
  <c r="G56" i="1" s="1"/>
  <c r="Q55" i="53"/>
  <c r="Q54" i="53"/>
  <c r="Q53" i="53"/>
  <c r="G53" i="1" s="1"/>
  <c r="Q52" i="53"/>
  <c r="G52" i="1" s="1"/>
  <c r="Q51" i="53"/>
  <c r="Q49" i="53"/>
  <c r="Q48" i="53"/>
  <c r="G48" i="1" s="1"/>
  <c r="Q47" i="53"/>
  <c r="G47" i="1" s="1"/>
  <c r="Q46" i="53"/>
  <c r="Q45" i="53"/>
  <c r="G45" i="1" s="1"/>
  <c r="Q44" i="53"/>
  <c r="G44" i="1" s="1"/>
  <c r="Q43" i="53"/>
  <c r="G43" i="1" s="1"/>
  <c r="Q42" i="53"/>
  <c r="G42" i="1" s="1"/>
  <c r="Q41" i="53"/>
  <c r="G41" i="1" s="1"/>
  <c r="Q40" i="53"/>
  <c r="Q39" i="53"/>
  <c r="G39" i="1" s="1"/>
  <c r="Q38" i="53"/>
  <c r="Q36" i="53"/>
  <c r="G36" i="1" s="1"/>
  <c r="Q34" i="53"/>
  <c r="G34" i="1" s="1"/>
  <c r="Q33" i="53"/>
  <c r="G33" i="1" s="1"/>
  <c r="Q31" i="53"/>
  <c r="G31" i="1" s="1"/>
  <c r="Q30" i="53"/>
  <c r="G30" i="1" s="1"/>
  <c r="Q29" i="53"/>
  <c r="G29" i="1" s="1"/>
  <c r="Q27" i="53"/>
  <c r="G27" i="1" s="1"/>
  <c r="Q26" i="53"/>
  <c r="G26" i="1" s="1"/>
  <c r="Q25" i="53"/>
  <c r="G25" i="1" s="1"/>
  <c r="Q23" i="53"/>
  <c r="G23" i="1" s="1"/>
  <c r="Q17" i="53"/>
  <c r="G17" i="1" s="1"/>
  <c r="Q15" i="53"/>
  <c r="G15" i="1" s="1"/>
  <c r="Q6" i="53"/>
  <c r="G6" i="1" s="1"/>
  <c r="Q5" i="53"/>
  <c r="G5" i="1" s="1"/>
  <c r="O66" i="53"/>
  <c r="O65" i="53"/>
  <c r="O64" i="53"/>
  <c r="O63" i="53"/>
  <c r="O62" i="53"/>
  <c r="O60" i="53"/>
  <c r="O59" i="53"/>
  <c r="O58" i="53"/>
  <c r="O57" i="53"/>
  <c r="O56" i="53"/>
  <c r="O55" i="53"/>
  <c r="O54" i="53"/>
  <c r="O53" i="53"/>
  <c r="O52" i="53"/>
  <c r="O51" i="53"/>
  <c r="O49" i="53"/>
  <c r="O48" i="53"/>
  <c r="O47" i="53"/>
  <c r="O46" i="53"/>
  <c r="O45" i="53"/>
  <c r="O44" i="53"/>
  <c r="O43" i="53"/>
  <c r="O42" i="53"/>
  <c r="O41" i="53"/>
  <c r="O40" i="53"/>
  <c r="O39" i="53"/>
  <c r="O38" i="53"/>
  <c r="O34" i="53"/>
  <c r="O30" i="53"/>
  <c r="O29" i="53"/>
  <c r="O25" i="53"/>
  <c r="O24" i="53"/>
  <c r="O22" i="53"/>
  <c r="O21" i="53"/>
  <c r="O20" i="53"/>
  <c r="O18" i="53"/>
  <c r="O17" i="53"/>
  <c r="O16" i="53"/>
  <c r="O14" i="53"/>
  <c r="O13" i="53"/>
  <c r="O12" i="53"/>
  <c r="O10" i="53"/>
  <c r="O9" i="53"/>
  <c r="O8" i="53"/>
  <c r="O6" i="53"/>
  <c r="O5" i="53"/>
  <c r="O4" i="53"/>
  <c r="M66" i="53"/>
  <c r="M65" i="53"/>
  <c r="E65" i="1" s="1"/>
  <c r="M64" i="53"/>
  <c r="E64" i="1" s="1"/>
  <c r="M63" i="53"/>
  <c r="E63" i="1" s="1"/>
  <c r="M62" i="53"/>
  <c r="M60" i="53"/>
  <c r="E60" i="1" s="1"/>
  <c r="M59" i="53"/>
  <c r="E59" i="1" s="1"/>
  <c r="M58" i="53"/>
  <c r="E58" i="1" s="1"/>
  <c r="M57" i="53"/>
  <c r="E57" i="1" s="1"/>
  <c r="M56" i="53"/>
  <c r="E56" i="1" s="1"/>
  <c r="M55" i="53"/>
  <c r="E55" i="1" s="1"/>
  <c r="M54" i="53"/>
  <c r="E54" i="1" s="1"/>
  <c r="M53" i="53"/>
  <c r="M52" i="53"/>
  <c r="E52" i="1" s="1"/>
  <c r="M51" i="53"/>
  <c r="E51" i="1" s="1"/>
  <c r="M49" i="53"/>
  <c r="E49" i="1" s="1"/>
  <c r="M48" i="53"/>
  <c r="M47" i="53"/>
  <c r="M46" i="53"/>
  <c r="E46" i="1" s="1"/>
  <c r="M45" i="53"/>
  <c r="E45" i="1" s="1"/>
  <c r="M44" i="53"/>
  <c r="M43" i="53"/>
  <c r="E43" i="1" s="1"/>
  <c r="M42" i="53"/>
  <c r="E42" i="1" s="1"/>
  <c r="M41" i="53"/>
  <c r="E41" i="1" s="1"/>
  <c r="M40" i="53"/>
  <c r="E40" i="1" s="1"/>
  <c r="M39" i="53"/>
  <c r="M38" i="53"/>
  <c r="M36" i="53"/>
  <c r="E36" i="1" s="1"/>
  <c r="M33" i="53"/>
  <c r="E33" i="1" s="1"/>
  <c r="M29" i="53"/>
  <c r="E29" i="1" s="1"/>
  <c r="M28" i="53"/>
  <c r="E28" i="1" s="1"/>
  <c r="M24" i="53"/>
  <c r="E24" i="1" s="1"/>
  <c r="M23" i="53"/>
  <c r="E23" i="1" s="1"/>
  <c r="M19" i="53"/>
  <c r="E19" i="1" s="1"/>
  <c r="M17" i="53"/>
  <c r="E17" i="1" s="1"/>
  <c r="M13" i="53"/>
  <c r="E13" i="1" s="1"/>
  <c r="M12" i="53"/>
  <c r="E12" i="1" s="1"/>
  <c r="M8" i="53"/>
  <c r="E8" i="1" s="1"/>
  <c r="M7" i="53"/>
  <c r="E7" i="1" s="1"/>
  <c r="K66" i="53"/>
  <c r="D66" i="1" s="1"/>
  <c r="K65" i="53"/>
  <c r="D65" i="1" s="1"/>
  <c r="K64" i="53"/>
  <c r="D64" i="1" s="1"/>
  <c r="K63" i="53"/>
  <c r="K62" i="53"/>
  <c r="D62" i="1" s="1"/>
  <c r="K60" i="53"/>
  <c r="K59" i="53"/>
  <c r="D59" i="1" s="1"/>
  <c r="K58" i="53"/>
  <c r="K57" i="53"/>
  <c r="D57" i="1" s="1"/>
  <c r="K56" i="53"/>
  <c r="K55" i="53"/>
  <c r="D55" i="1" s="1"/>
  <c r="K54" i="53"/>
  <c r="D54" i="1" s="1"/>
  <c r="K53" i="53"/>
  <c r="D53" i="1" s="1"/>
  <c r="K52" i="53"/>
  <c r="K51" i="53"/>
  <c r="D51" i="1" s="1"/>
  <c r="K49" i="53"/>
  <c r="D49" i="1" s="1"/>
  <c r="K48" i="53"/>
  <c r="D48" i="1" s="1"/>
  <c r="K47" i="53"/>
  <c r="D47" i="1" s="1"/>
  <c r="K46" i="53"/>
  <c r="D46" i="1" s="1"/>
  <c r="K45" i="53"/>
  <c r="D45" i="1" s="1"/>
  <c r="K44" i="53"/>
  <c r="D44" i="1" s="1"/>
  <c r="K43" i="53"/>
  <c r="K42" i="53"/>
  <c r="D42" i="1" s="1"/>
  <c r="K41" i="53"/>
  <c r="D41" i="1" s="1"/>
  <c r="K40" i="53"/>
  <c r="D40" i="1" s="1"/>
  <c r="K39" i="53"/>
  <c r="K38" i="53"/>
  <c r="K32" i="53"/>
  <c r="D32" i="1" s="1"/>
  <c r="K28" i="53"/>
  <c r="D28" i="1" s="1"/>
  <c r="K18" i="53"/>
  <c r="D18" i="1" s="1"/>
  <c r="K16" i="53"/>
  <c r="D16" i="1" s="1"/>
  <c r="K12" i="53"/>
  <c r="D12" i="1" s="1"/>
  <c r="K11" i="53"/>
  <c r="D11" i="1" s="1"/>
  <c r="K7" i="53"/>
  <c r="D7" i="1" s="1"/>
  <c r="K6" i="53"/>
  <c r="D6" i="1" s="1"/>
  <c r="I66" i="53"/>
  <c r="I65" i="53"/>
  <c r="I64" i="53"/>
  <c r="I63" i="53"/>
  <c r="I62" i="53"/>
  <c r="I60" i="53"/>
  <c r="I59" i="53"/>
  <c r="I58" i="53"/>
  <c r="I57" i="53"/>
  <c r="I56" i="53"/>
  <c r="I55" i="53"/>
  <c r="I54" i="53"/>
  <c r="I53" i="53"/>
  <c r="I52" i="53"/>
  <c r="I51" i="53"/>
  <c r="I49" i="53"/>
  <c r="I48" i="53"/>
  <c r="I47" i="53"/>
  <c r="I46" i="53"/>
  <c r="I45" i="53"/>
  <c r="I44" i="53"/>
  <c r="I43" i="53"/>
  <c r="I42" i="53"/>
  <c r="I41" i="53"/>
  <c r="I40" i="53"/>
  <c r="I39" i="53"/>
  <c r="I38" i="53"/>
  <c r="I36" i="53"/>
  <c r="I34" i="53"/>
  <c r="I33" i="53"/>
  <c r="I31" i="53"/>
  <c r="I30" i="53"/>
  <c r="I29" i="53"/>
  <c r="I27" i="53"/>
  <c r="I26" i="53"/>
  <c r="I25" i="53"/>
  <c r="I23" i="53"/>
  <c r="I21" i="53"/>
  <c r="I11" i="53"/>
  <c r="I10" i="53"/>
  <c r="G66" i="53"/>
  <c r="G65" i="53"/>
  <c r="G64" i="53"/>
  <c r="G63" i="53"/>
  <c r="G62" i="53"/>
  <c r="G60" i="53"/>
  <c r="G59" i="53"/>
  <c r="G58" i="53"/>
  <c r="G57" i="53"/>
  <c r="G56" i="53"/>
  <c r="G55" i="53"/>
  <c r="G54" i="53"/>
  <c r="G53" i="53"/>
  <c r="G52" i="53"/>
  <c r="G51" i="53"/>
  <c r="G49" i="53"/>
  <c r="G48" i="53"/>
  <c r="G47" i="53"/>
  <c r="G46" i="53"/>
  <c r="G45" i="53"/>
  <c r="G44" i="53"/>
  <c r="G43" i="53"/>
  <c r="G42" i="53"/>
  <c r="G41" i="53"/>
  <c r="G40" i="53"/>
  <c r="G39" i="53"/>
  <c r="G38" i="53"/>
  <c r="G34" i="53"/>
  <c r="G30" i="53"/>
  <c r="G29" i="53"/>
  <c r="G25" i="53"/>
  <c r="G24" i="53"/>
  <c r="G21" i="53"/>
  <c r="G20" i="53"/>
  <c r="G18" i="53"/>
  <c r="G17" i="53"/>
  <c r="G16" i="53"/>
  <c r="G14" i="53"/>
  <c r="G13" i="53"/>
  <c r="G12" i="53"/>
  <c r="G10" i="53"/>
  <c r="G9" i="53"/>
  <c r="G8" i="53"/>
  <c r="G6" i="53"/>
  <c r="G5" i="53"/>
  <c r="G4" i="53"/>
  <c r="O3" i="53"/>
  <c r="I3" i="53"/>
  <c r="G3" i="53"/>
  <c r="E66" i="53"/>
  <c r="E65" i="53"/>
  <c r="E64" i="53"/>
  <c r="E63" i="53"/>
  <c r="E57" i="53"/>
  <c r="E56" i="53"/>
  <c r="E52" i="53"/>
  <c r="E49" i="53"/>
  <c r="E48" i="53"/>
  <c r="E45" i="53"/>
  <c r="E44" i="53"/>
  <c r="E43" i="53"/>
  <c r="E40" i="53"/>
  <c r="E39" i="53"/>
  <c r="R66" i="53"/>
  <c r="P66" i="53"/>
  <c r="N66" i="53"/>
  <c r="L66" i="53"/>
  <c r="J66" i="53"/>
  <c r="H66" i="53"/>
  <c r="F66" i="53"/>
  <c r="R65" i="53"/>
  <c r="P65" i="53"/>
  <c r="N65" i="53"/>
  <c r="L65" i="53"/>
  <c r="J65" i="53"/>
  <c r="H65" i="53"/>
  <c r="F65" i="53"/>
  <c r="R64" i="53"/>
  <c r="P64" i="53"/>
  <c r="N64" i="53"/>
  <c r="L64" i="53"/>
  <c r="J64" i="53"/>
  <c r="H64" i="53"/>
  <c r="F64" i="53"/>
  <c r="R63" i="53"/>
  <c r="P63" i="53"/>
  <c r="N63" i="53"/>
  <c r="L63" i="53"/>
  <c r="J63" i="53"/>
  <c r="H63" i="53"/>
  <c r="F63" i="53"/>
  <c r="R62" i="53"/>
  <c r="P62" i="53"/>
  <c r="N62" i="53"/>
  <c r="L62" i="53"/>
  <c r="J62" i="53"/>
  <c r="H62" i="53"/>
  <c r="F62" i="53"/>
  <c r="E62" i="53"/>
  <c r="R60" i="53"/>
  <c r="P60" i="53"/>
  <c r="N60" i="53"/>
  <c r="L60" i="53"/>
  <c r="J60" i="53"/>
  <c r="H60" i="53"/>
  <c r="F60" i="53"/>
  <c r="R59" i="53"/>
  <c r="P59" i="53"/>
  <c r="N59" i="53"/>
  <c r="L59" i="53"/>
  <c r="J59" i="53"/>
  <c r="H59" i="53"/>
  <c r="F59" i="53"/>
  <c r="R58" i="53"/>
  <c r="P58" i="53"/>
  <c r="N58" i="53"/>
  <c r="L58" i="53"/>
  <c r="J58" i="53"/>
  <c r="H58" i="53"/>
  <c r="F58" i="53"/>
  <c r="R57" i="53"/>
  <c r="P57" i="53"/>
  <c r="N57" i="53"/>
  <c r="L57" i="53"/>
  <c r="J57" i="53"/>
  <c r="H57" i="53"/>
  <c r="F57" i="53"/>
  <c r="R56" i="53"/>
  <c r="P56" i="53"/>
  <c r="N56" i="53"/>
  <c r="L56" i="53"/>
  <c r="J56" i="53"/>
  <c r="H56" i="53"/>
  <c r="F56" i="53"/>
  <c r="R55" i="53"/>
  <c r="P55" i="53"/>
  <c r="N55" i="53"/>
  <c r="L55" i="53"/>
  <c r="J55" i="53"/>
  <c r="H55" i="53"/>
  <c r="F55" i="53"/>
  <c r="R54" i="53"/>
  <c r="P54" i="53"/>
  <c r="N54" i="53"/>
  <c r="L54" i="53"/>
  <c r="J54" i="53"/>
  <c r="H54" i="53"/>
  <c r="F54" i="53"/>
  <c r="R53" i="53"/>
  <c r="P53" i="53"/>
  <c r="N53" i="53"/>
  <c r="L53" i="53"/>
  <c r="J53" i="53"/>
  <c r="H53" i="53"/>
  <c r="F53" i="53"/>
  <c r="R52" i="53"/>
  <c r="P52" i="53"/>
  <c r="N52" i="53"/>
  <c r="L52" i="53"/>
  <c r="J52" i="53"/>
  <c r="H52" i="53"/>
  <c r="F52" i="53"/>
  <c r="R51" i="53"/>
  <c r="P51" i="53"/>
  <c r="N51" i="53"/>
  <c r="L51" i="53"/>
  <c r="J51" i="53"/>
  <c r="H51" i="53"/>
  <c r="F51" i="53"/>
  <c r="R49" i="53"/>
  <c r="P49" i="53"/>
  <c r="N49" i="53"/>
  <c r="L49" i="53"/>
  <c r="J49" i="53"/>
  <c r="H49" i="53"/>
  <c r="F49" i="53"/>
  <c r="R48" i="53"/>
  <c r="P48" i="53"/>
  <c r="N48" i="53"/>
  <c r="L48" i="53"/>
  <c r="J48" i="53"/>
  <c r="H48" i="53"/>
  <c r="F48" i="53"/>
  <c r="R47" i="53"/>
  <c r="P47" i="53"/>
  <c r="N47" i="53"/>
  <c r="L47" i="53"/>
  <c r="J47" i="53"/>
  <c r="H47" i="53"/>
  <c r="F47" i="53"/>
  <c r="R46" i="53"/>
  <c r="P46" i="53"/>
  <c r="N46" i="53"/>
  <c r="L46" i="53"/>
  <c r="J46" i="53"/>
  <c r="H46" i="53"/>
  <c r="F46" i="53"/>
  <c r="R45" i="53"/>
  <c r="P45" i="53"/>
  <c r="N45" i="53"/>
  <c r="L45" i="53"/>
  <c r="J45" i="53"/>
  <c r="H45" i="53"/>
  <c r="F45" i="53"/>
  <c r="R44" i="53"/>
  <c r="P44" i="53"/>
  <c r="N44" i="53"/>
  <c r="L44" i="53"/>
  <c r="J44" i="53"/>
  <c r="H44" i="53"/>
  <c r="F44" i="53"/>
  <c r="R43" i="53"/>
  <c r="P43" i="53"/>
  <c r="N43" i="53"/>
  <c r="L43" i="53"/>
  <c r="J43" i="53"/>
  <c r="H43" i="53"/>
  <c r="F43" i="53"/>
  <c r="R42" i="53"/>
  <c r="P42" i="53"/>
  <c r="N42" i="53"/>
  <c r="L42" i="53"/>
  <c r="J42" i="53"/>
  <c r="H42" i="53"/>
  <c r="F42" i="53"/>
  <c r="R41" i="53"/>
  <c r="P41" i="53"/>
  <c r="N41" i="53"/>
  <c r="L41" i="53"/>
  <c r="J41" i="53"/>
  <c r="H41" i="53"/>
  <c r="F41" i="53"/>
  <c r="R40" i="53"/>
  <c r="P40" i="53"/>
  <c r="N40" i="53"/>
  <c r="L40" i="53"/>
  <c r="J40" i="53"/>
  <c r="H40" i="53"/>
  <c r="F40" i="53"/>
  <c r="R39" i="53"/>
  <c r="P39" i="53"/>
  <c r="N39" i="53"/>
  <c r="L39" i="53"/>
  <c r="J39" i="53"/>
  <c r="H39" i="53"/>
  <c r="F39" i="53"/>
  <c r="R38" i="53"/>
  <c r="P38" i="53"/>
  <c r="N38" i="53"/>
  <c r="L38" i="53"/>
  <c r="J38" i="53"/>
  <c r="H38" i="53"/>
  <c r="F38" i="53"/>
  <c r="R36" i="53"/>
  <c r="S36" i="53" s="1"/>
  <c r="H36" i="1" s="1"/>
  <c r="P36" i="53"/>
  <c r="N36" i="53"/>
  <c r="O36" i="53" s="1"/>
  <c r="L36" i="53"/>
  <c r="J36" i="53"/>
  <c r="K36" i="53" s="1"/>
  <c r="D36" i="1" s="1"/>
  <c r="H36" i="53"/>
  <c r="F36" i="53"/>
  <c r="G36" i="53" s="1"/>
  <c r="E36" i="53"/>
  <c r="R34" i="53"/>
  <c r="P34" i="53"/>
  <c r="N34" i="53"/>
  <c r="L34" i="53"/>
  <c r="M34" i="53" s="1"/>
  <c r="J34" i="53"/>
  <c r="K34" i="53" s="1"/>
  <c r="D34" i="1" s="1"/>
  <c r="H34" i="53"/>
  <c r="F34" i="53"/>
  <c r="E34" i="53"/>
  <c r="R33" i="53"/>
  <c r="S33" i="53" s="1"/>
  <c r="H33" i="1" s="1"/>
  <c r="P33" i="53"/>
  <c r="N33" i="53"/>
  <c r="O33" i="53" s="1"/>
  <c r="L33" i="53"/>
  <c r="J33" i="53"/>
  <c r="K33" i="53" s="1"/>
  <c r="D33" i="1" s="1"/>
  <c r="H33" i="53"/>
  <c r="F33" i="53"/>
  <c r="G33" i="53" s="1"/>
  <c r="E33" i="53"/>
  <c r="R32" i="53"/>
  <c r="S32" i="53" s="1"/>
  <c r="H32" i="1" s="1"/>
  <c r="P32" i="53"/>
  <c r="Q32" i="53" s="1"/>
  <c r="G32" i="1" s="1"/>
  <c r="N32" i="53"/>
  <c r="O32" i="53" s="1"/>
  <c r="L32" i="53"/>
  <c r="M32" i="53" s="1"/>
  <c r="E32" i="1" s="1"/>
  <c r="J32" i="53"/>
  <c r="H32" i="53"/>
  <c r="I32" i="53" s="1"/>
  <c r="F32" i="53"/>
  <c r="G32" i="53" s="1"/>
  <c r="E32" i="53"/>
  <c r="R31" i="53"/>
  <c r="S31" i="53" s="1"/>
  <c r="H31" i="1" s="1"/>
  <c r="P31" i="53"/>
  <c r="N31" i="53"/>
  <c r="O31" i="53" s="1"/>
  <c r="L31" i="53"/>
  <c r="M31" i="53" s="1"/>
  <c r="E31" i="1" s="1"/>
  <c r="J31" i="53"/>
  <c r="K31" i="53" s="1"/>
  <c r="D31" i="1" s="1"/>
  <c r="H31" i="53"/>
  <c r="F31" i="53"/>
  <c r="G31" i="53" s="1"/>
  <c r="E31" i="53"/>
  <c r="R30" i="53"/>
  <c r="S30" i="53" s="1"/>
  <c r="H30" i="1" s="1"/>
  <c r="P30" i="53"/>
  <c r="N30" i="53"/>
  <c r="L30" i="53"/>
  <c r="M30" i="53" s="1"/>
  <c r="J30" i="53"/>
  <c r="K30" i="53" s="1"/>
  <c r="D30" i="1" s="1"/>
  <c r="H30" i="53"/>
  <c r="F30" i="53"/>
  <c r="E30" i="53"/>
  <c r="R29" i="53"/>
  <c r="S29" i="53" s="1"/>
  <c r="H29" i="1" s="1"/>
  <c r="P29" i="53"/>
  <c r="N29" i="53"/>
  <c r="L29" i="53"/>
  <c r="J29" i="53"/>
  <c r="K29" i="53" s="1"/>
  <c r="D29" i="1" s="1"/>
  <c r="H29" i="53"/>
  <c r="F29" i="53"/>
  <c r="E29" i="53"/>
  <c r="R28" i="53"/>
  <c r="S28" i="53" s="1"/>
  <c r="H28" i="1" s="1"/>
  <c r="P28" i="53"/>
  <c r="Q28" i="53" s="1"/>
  <c r="G28" i="1" s="1"/>
  <c r="N28" i="53"/>
  <c r="O28" i="53" s="1"/>
  <c r="L28" i="53"/>
  <c r="J28" i="53"/>
  <c r="H28" i="53"/>
  <c r="I28" i="53" s="1"/>
  <c r="F28" i="53"/>
  <c r="G28" i="53" s="1"/>
  <c r="E28" i="53"/>
  <c r="R27" i="53"/>
  <c r="P27" i="53"/>
  <c r="N27" i="53"/>
  <c r="O27" i="53" s="1"/>
  <c r="L27" i="53"/>
  <c r="M27" i="53" s="1"/>
  <c r="E27" i="1" s="1"/>
  <c r="J27" i="53"/>
  <c r="K27" i="53" s="1"/>
  <c r="D27" i="1" s="1"/>
  <c r="H27" i="53"/>
  <c r="F27" i="53"/>
  <c r="G27" i="53" s="1"/>
  <c r="E27" i="53"/>
  <c r="R26" i="53"/>
  <c r="S26" i="53" s="1"/>
  <c r="H26" i="1" s="1"/>
  <c r="P26" i="53"/>
  <c r="N26" i="53"/>
  <c r="O26" i="53" s="1"/>
  <c r="L26" i="53"/>
  <c r="M26" i="53" s="1"/>
  <c r="J26" i="53"/>
  <c r="K26" i="53" s="1"/>
  <c r="D26" i="1" s="1"/>
  <c r="H26" i="53"/>
  <c r="F26" i="53"/>
  <c r="G26" i="53" s="1"/>
  <c r="E26" i="53"/>
  <c r="R25" i="53"/>
  <c r="S25" i="53" s="1"/>
  <c r="H25" i="1" s="1"/>
  <c r="P25" i="53"/>
  <c r="N25" i="53"/>
  <c r="L25" i="53"/>
  <c r="M25" i="53" s="1"/>
  <c r="E25" i="1" s="1"/>
  <c r="J25" i="53"/>
  <c r="K25" i="53" s="1"/>
  <c r="D25" i="1" s="1"/>
  <c r="H25" i="53"/>
  <c r="F25" i="53"/>
  <c r="E25" i="53"/>
  <c r="R24" i="53"/>
  <c r="S24" i="53" s="1"/>
  <c r="H24" i="1" s="1"/>
  <c r="P24" i="53"/>
  <c r="Q24" i="53" s="1"/>
  <c r="G24" i="1" s="1"/>
  <c r="N24" i="53"/>
  <c r="L24" i="53"/>
  <c r="J24" i="53"/>
  <c r="K24" i="53" s="1"/>
  <c r="D24" i="1" s="1"/>
  <c r="H24" i="53"/>
  <c r="I24" i="53" s="1"/>
  <c r="F24" i="53"/>
  <c r="E24" i="53"/>
  <c r="R23" i="53"/>
  <c r="P23" i="53"/>
  <c r="N23" i="53"/>
  <c r="O23" i="53" s="1"/>
  <c r="L23" i="53"/>
  <c r="J23" i="53"/>
  <c r="K23" i="53" s="1"/>
  <c r="D23" i="1" s="1"/>
  <c r="H23" i="53"/>
  <c r="F23" i="53"/>
  <c r="G23" i="53" s="1"/>
  <c r="E23" i="53"/>
  <c r="D22" i="53"/>
  <c r="P22" i="53" s="1"/>
  <c r="Q22" i="53" s="1"/>
  <c r="G22" i="1" s="1"/>
  <c r="C22" i="53"/>
  <c r="N22" i="53" s="1"/>
  <c r="B22" i="53"/>
  <c r="F22" i="53" s="1"/>
  <c r="G22" i="53" s="1"/>
  <c r="R21" i="53"/>
  <c r="S21" i="53" s="1"/>
  <c r="H21" i="1" s="1"/>
  <c r="P21" i="53"/>
  <c r="Q21" i="53" s="1"/>
  <c r="G21" i="1" s="1"/>
  <c r="N21" i="53"/>
  <c r="L21" i="53"/>
  <c r="M21" i="53" s="1"/>
  <c r="E21" i="1" s="1"/>
  <c r="J21" i="53"/>
  <c r="K21" i="53" s="1"/>
  <c r="H21" i="53"/>
  <c r="F21" i="53"/>
  <c r="E21" i="53"/>
  <c r="R20" i="53"/>
  <c r="S20" i="53" s="1"/>
  <c r="H20" i="1" s="1"/>
  <c r="P20" i="53"/>
  <c r="Q20" i="53" s="1"/>
  <c r="G20" i="1" s="1"/>
  <c r="N20" i="53"/>
  <c r="L20" i="53"/>
  <c r="M20" i="53" s="1"/>
  <c r="E20" i="1" s="1"/>
  <c r="J20" i="53"/>
  <c r="K20" i="53" s="1"/>
  <c r="D20" i="1" s="1"/>
  <c r="H20" i="53"/>
  <c r="I20" i="53" s="1"/>
  <c r="F20" i="53"/>
  <c r="E20" i="53"/>
  <c r="R19" i="53"/>
  <c r="S19" i="53" s="1"/>
  <c r="H19" i="1" s="1"/>
  <c r="P19" i="53"/>
  <c r="Q19" i="53" s="1"/>
  <c r="G19" i="1" s="1"/>
  <c r="N19" i="53"/>
  <c r="O19" i="53" s="1"/>
  <c r="L19" i="53"/>
  <c r="J19" i="53"/>
  <c r="K19" i="53" s="1"/>
  <c r="D19" i="1" s="1"/>
  <c r="H19" i="53"/>
  <c r="I19" i="53" s="1"/>
  <c r="F19" i="53"/>
  <c r="G19" i="53" s="1"/>
  <c r="E19" i="53"/>
  <c r="R18" i="53"/>
  <c r="P18" i="53"/>
  <c r="Q18" i="53" s="1"/>
  <c r="G18" i="1" s="1"/>
  <c r="N18" i="53"/>
  <c r="L18" i="53"/>
  <c r="M18" i="53" s="1"/>
  <c r="E18" i="1" s="1"/>
  <c r="J18" i="53"/>
  <c r="H18" i="53"/>
  <c r="I18" i="53" s="1"/>
  <c r="F18" i="53"/>
  <c r="E18" i="53"/>
  <c r="R17" i="53"/>
  <c r="S17" i="53" s="1"/>
  <c r="H17" i="1" s="1"/>
  <c r="P17" i="53"/>
  <c r="N17" i="53"/>
  <c r="L17" i="53"/>
  <c r="J17" i="53"/>
  <c r="K17" i="53" s="1"/>
  <c r="H17" i="53"/>
  <c r="I17" i="53" s="1"/>
  <c r="F17" i="53"/>
  <c r="E17" i="53"/>
  <c r="R16" i="53"/>
  <c r="P16" i="53"/>
  <c r="Q16" i="53" s="1"/>
  <c r="G16" i="1" s="1"/>
  <c r="N16" i="53"/>
  <c r="L16" i="53"/>
  <c r="M16" i="53" s="1"/>
  <c r="E16" i="1" s="1"/>
  <c r="J16" i="53"/>
  <c r="H16" i="53"/>
  <c r="I16" i="53" s="1"/>
  <c r="F16" i="53"/>
  <c r="E16" i="53"/>
  <c r="R15" i="53"/>
  <c r="S15" i="53" s="1"/>
  <c r="H15" i="1" s="1"/>
  <c r="P15" i="53"/>
  <c r="N15" i="53"/>
  <c r="O15" i="53" s="1"/>
  <c r="L15" i="53"/>
  <c r="M15" i="53" s="1"/>
  <c r="E15" i="1" s="1"/>
  <c r="J15" i="53"/>
  <c r="K15" i="53" s="1"/>
  <c r="D15" i="1" s="1"/>
  <c r="H15" i="53"/>
  <c r="I15" i="53" s="1"/>
  <c r="F15" i="53"/>
  <c r="G15" i="53" s="1"/>
  <c r="E15" i="53"/>
  <c r="R14" i="53"/>
  <c r="S14" i="53" s="1"/>
  <c r="H14" i="1" s="1"/>
  <c r="P14" i="53"/>
  <c r="Q14" i="53" s="1"/>
  <c r="G14" i="1" s="1"/>
  <c r="N14" i="53"/>
  <c r="L14" i="53"/>
  <c r="M14" i="53" s="1"/>
  <c r="E14" i="1" s="1"/>
  <c r="J14" i="53"/>
  <c r="K14" i="53" s="1"/>
  <c r="D14" i="1" s="1"/>
  <c r="H14" i="53"/>
  <c r="I14" i="53" s="1"/>
  <c r="F14" i="53"/>
  <c r="E14" i="53"/>
  <c r="R13" i="53"/>
  <c r="S13" i="53" s="1"/>
  <c r="H13" i="1" s="1"/>
  <c r="P13" i="53"/>
  <c r="Q13" i="53" s="1"/>
  <c r="G13" i="1" s="1"/>
  <c r="N13" i="53"/>
  <c r="L13" i="53"/>
  <c r="J13" i="53"/>
  <c r="K13" i="53" s="1"/>
  <c r="H13" i="53"/>
  <c r="I13" i="53" s="1"/>
  <c r="F13" i="53"/>
  <c r="E13" i="53"/>
  <c r="R12" i="53"/>
  <c r="P12" i="53"/>
  <c r="Q12" i="53" s="1"/>
  <c r="N12" i="53"/>
  <c r="L12" i="53"/>
  <c r="J12" i="53"/>
  <c r="H12" i="53"/>
  <c r="I12" i="53" s="1"/>
  <c r="F12" i="53"/>
  <c r="E12" i="53"/>
  <c r="R11" i="53"/>
  <c r="P11" i="53"/>
  <c r="Q11" i="53" s="1"/>
  <c r="G11" i="1" s="1"/>
  <c r="N11" i="53"/>
  <c r="O11" i="53" s="1"/>
  <c r="L11" i="53"/>
  <c r="M11" i="53" s="1"/>
  <c r="E11" i="1" s="1"/>
  <c r="J11" i="53"/>
  <c r="H11" i="53"/>
  <c r="F11" i="53"/>
  <c r="G11" i="53" s="1"/>
  <c r="E11" i="53"/>
  <c r="R10" i="53"/>
  <c r="S10" i="53" s="1"/>
  <c r="H10" i="1" s="1"/>
  <c r="P10" i="53"/>
  <c r="Q10" i="53" s="1"/>
  <c r="G10" i="1" s="1"/>
  <c r="N10" i="53"/>
  <c r="L10" i="53"/>
  <c r="M10" i="53" s="1"/>
  <c r="J10" i="53"/>
  <c r="K10" i="53" s="1"/>
  <c r="D10" i="1" s="1"/>
  <c r="H10" i="53"/>
  <c r="F10" i="53"/>
  <c r="E10" i="53"/>
  <c r="R9" i="53"/>
  <c r="S9" i="53" s="1"/>
  <c r="H9" i="1" s="1"/>
  <c r="P9" i="53"/>
  <c r="Q9" i="53" s="1"/>
  <c r="N9" i="53"/>
  <c r="L9" i="53"/>
  <c r="M9" i="53" s="1"/>
  <c r="J9" i="53"/>
  <c r="K9" i="53" s="1"/>
  <c r="D9" i="1" s="1"/>
  <c r="H9" i="53"/>
  <c r="I9" i="53" s="1"/>
  <c r="F9" i="53"/>
  <c r="E9" i="53"/>
  <c r="R8" i="53"/>
  <c r="S8" i="53" s="1"/>
  <c r="H8" i="1" s="1"/>
  <c r="P8" i="53"/>
  <c r="Q8" i="53" s="1"/>
  <c r="G8" i="1" s="1"/>
  <c r="N8" i="53"/>
  <c r="L8" i="53"/>
  <c r="J8" i="53"/>
  <c r="K8" i="53" s="1"/>
  <c r="D8" i="1" s="1"/>
  <c r="H8" i="53"/>
  <c r="I8" i="53" s="1"/>
  <c r="F8" i="53"/>
  <c r="E8" i="53"/>
  <c r="R7" i="53"/>
  <c r="P7" i="53"/>
  <c r="Q7" i="53" s="1"/>
  <c r="G7" i="1" s="1"/>
  <c r="N7" i="53"/>
  <c r="O7" i="53" s="1"/>
  <c r="L7" i="53"/>
  <c r="J7" i="53"/>
  <c r="H7" i="53"/>
  <c r="I7" i="53" s="1"/>
  <c r="F7" i="53"/>
  <c r="G7" i="53" s="1"/>
  <c r="E7" i="53"/>
  <c r="R6" i="53"/>
  <c r="P6" i="53"/>
  <c r="N6" i="53"/>
  <c r="L6" i="53"/>
  <c r="M6" i="53" s="1"/>
  <c r="J6" i="53"/>
  <c r="H6" i="53"/>
  <c r="I6" i="53" s="1"/>
  <c r="F6" i="53"/>
  <c r="E6" i="53"/>
  <c r="R5" i="53"/>
  <c r="S5" i="53" s="1"/>
  <c r="P5" i="53"/>
  <c r="N5" i="53"/>
  <c r="L5" i="53"/>
  <c r="M5" i="53" s="1"/>
  <c r="E5" i="1" s="1"/>
  <c r="J5" i="53"/>
  <c r="K5" i="53" s="1"/>
  <c r="D5" i="1" s="1"/>
  <c r="H5" i="53"/>
  <c r="I5" i="53" s="1"/>
  <c r="F5" i="53"/>
  <c r="E5" i="53"/>
  <c r="R4" i="53"/>
  <c r="S4" i="53" s="1"/>
  <c r="H4" i="1" s="1"/>
  <c r="P4" i="53"/>
  <c r="Q4" i="53" s="1"/>
  <c r="G4" i="1" s="1"/>
  <c r="N4" i="53"/>
  <c r="L4" i="53"/>
  <c r="M4" i="53" s="1"/>
  <c r="E4" i="1" s="1"/>
  <c r="J4" i="53"/>
  <c r="K4" i="53" s="1"/>
  <c r="D4" i="1" s="1"/>
  <c r="H4" i="53"/>
  <c r="I4" i="53" s="1"/>
  <c r="F4" i="53"/>
  <c r="E4" i="53"/>
  <c r="R3" i="53"/>
  <c r="S3" i="53" s="1"/>
  <c r="H3" i="1" s="1"/>
  <c r="P3" i="53"/>
  <c r="Q3" i="53" s="1"/>
  <c r="G3" i="1" s="1"/>
  <c r="N3" i="53"/>
  <c r="L3" i="53"/>
  <c r="M3" i="53" s="1"/>
  <c r="J3" i="53"/>
  <c r="K3" i="53" s="1"/>
  <c r="D3" i="1" s="1"/>
  <c r="H3" i="53"/>
  <c r="F3" i="53"/>
  <c r="E3" i="53"/>
  <c r="AO66" i="52"/>
  <c r="AO65" i="52"/>
  <c r="AO64" i="52"/>
  <c r="AO63" i="52"/>
  <c r="AK66" i="52"/>
  <c r="AK65" i="52"/>
  <c r="AK64" i="52"/>
  <c r="AK63" i="52"/>
  <c r="AG63" i="52"/>
  <c r="AD65" i="52"/>
  <c r="AD66" i="52"/>
  <c r="AD64" i="52"/>
  <c r="AD63" i="52"/>
  <c r="Z65" i="52"/>
  <c r="Z66" i="52"/>
  <c r="Z64" i="52"/>
  <c r="Z63" i="52"/>
  <c r="V66" i="52"/>
  <c r="V65" i="52"/>
  <c r="V64" i="52"/>
  <c r="V63" i="52"/>
  <c r="R66" i="52"/>
  <c r="R65" i="52"/>
  <c r="R64" i="52"/>
  <c r="R63" i="52"/>
  <c r="L66" i="52"/>
  <c r="L65" i="52"/>
  <c r="L64" i="52"/>
  <c r="L63" i="52"/>
  <c r="AN66" i="52"/>
  <c r="AM66" i="52"/>
  <c r="AL66" i="52"/>
  <c r="AJ66" i="52"/>
  <c r="AI66" i="52"/>
  <c r="AH66" i="52"/>
  <c r="AF66" i="52"/>
  <c r="AE66" i="52"/>
  <c r="AC66" i="52"/>
  <c r="AB66" i="52"/>
  <c r="AA66" i="52"/>
  <c r="Y66" i="52"/>
  <c r="X66" i="52"/>
  <c r="W66" i="52"/>
  <c r="U66" i="52"/>
  <c r="T66" i="52"/>
  <c r="S66" i="52"/>
  <c r="Q66" i="52"/>
  <c r="P66" i="52"/>
  <c r="O66" i="52"/>
  <c r="N66" i="52"/>
  <c r="M66" i="52"/>
  <c r="AN65" i="52"/>
  <c r="AM65" i="52"/>
  <c r="AL65" i="52"/>
  <c r="AJ65" i="52"/>
  <c r="AI65" i="52"/>
  <c r="AH65" i="52"/>
  <c r="AF65" i="52"/>
  <c r="AE65" i="52"/>
  <c r="AC65" i="52"/>
  <c r="AB65" i="52"/>
  <c r="AA65" i="52"/>
  <c r="Y65" i="52"/>
  <c r="X65" i="52"/>
  <c r="W65" i="52"/>
  <c r="U65" i="52"/>
  <c r="T65" i="52"/>
  <c r="S65" i="52"/>
  <c r="Q65" i="52"/>
  <c r="P65" i="52"/>
  <c r="O65" i="52"/>
  <c r="N65" i="52"/>
  <c r="M65" i="52"/>
  <c r="AN64" i="52"/>
  <c r="AM64" i="52"/>
  <c r="AL64" i="52"/>
  <c r="AJ64" i="52"/>
  <c r="AI64" i="52"/>
  <c r="AH64" i="52"/>
  <c r="AF64" i="52"/>
  <c r="AE64" i="52"/>
  <c r="AC64" i="52"/>
  <c r="AB64" i="52"/>
  <c r="AA64" i="52"/>
  <c r="Y64" i="52"/>
  <c r="X64" i="52"/>
  <c r="W64" i="52"/>
  <c r="U64" i="52"/>
  <c r="T64" i="52"/>
  <c r="S64" i="52"/>
  <c r="Q64" i="52"/>
  <c r="P64" i="52"/>
  <c r="O64" i="52"/>
  <c r="N64" i="52"/>
  <c r="M64" i="52"/>
  <c r="AN63" i="52"/>
  <c r="AM63" i="52"/>
  <c r="AL63" i="52"/>
  <c r="AJ63" i="52"/>
  <c r="AI63" i="52"/>
  <c r="AH63" i="52"/>
  <c r="AF63" i="52"/>
  <c r="AE63" i="52"/>
  <c r="AC63" i="52"/>
  <c r="AB63" i="52"/>
  <c r="AA63" i="52"/>
  <c r="Y63" i="52"/>
  <c r="X63" i="52"/>
  <c r="W63" i="52"/>
  <c r="U63" i="52"/>
  <c r="T63" i="52"/>
  <c r="S63" i="52"/>
  <c r="Q63" i="52"/>
  <c r="P63" i="52"/>
  <c r="O63" i="52"/>
  <c r="N63" i="52"/>
  <c r="M63" i="52"/>
  <c r="AN62" i="52"/>
  <c r="AM62" i="52"/>
  <c r="AL62" i="52"/>
  <c r="AJ62" i="52"/>
  <c r="AI62" i="52"/>
  <c r="AH62" i="52"/>
  <c r="AF62" i="52"/>
  <c r="AE62" i="52"/>
  <c r="AC62" i="52"/>
  <c r="AB62" i="52"/>
  <c r="AA62" i="52"/>
  <c r="Y62" i="52"/>
  <c r="X62" i="52"/>
  <c r="W62" i="52"/>
  <c r="U62" i="52"/>
  <c r="T62" i="52"/>
  <c r="S62" i="52"/>
  <c r="Q62" i="52"/>
  <c r="P62" i="52"/>
  <c r="O62" i="52"/>
  <c r="N62" i="52"/>
  <c r="M62" i="52"/>
  <c r="L62" i="52"/>
  <c r="AN60" i="52"/>
  <c r="AM60" i="52"/>
  <c r="AL60" i="52"/>
  <c r="AJ60" i="52"/>
  <c r="AI60" i="52"/>
  <c r="AH60" i="52"/>
  <c r="AF60" i="52"/>
  <c r="AE60" i="52"/>
  <c r="AC60" i="52"/>
  <c r="AB60" i="52"/>
  <c r="AA60" i="52"/>
  <c r="Y60" i="52"/>
  <c r="X60" i="52"/>
  <c r="W60" i="52"/>
  <c r="U60" i="52"/>
  <c r="T60" i="52"/>
  <c r="S60" i="52"/>
  <c r="Q60" i="52"/>
  <c r="P60" i="52"/>
  <c r="O60" i="52"/>
  <c r="N60" i="52"/>
  <c r="M60" i="52"/>
  <c r="AN59" i="52"/>
  <c r="AM59" i="52"/>
  <c r="AL59" i="52"/>
  <c r="AJ59" i="52"/>
  <c r="AI59" i="52"/>
  <c r="AH59" i="52"/>
  <c r="AF59" i="52"/>
  <c r="AE59" i="52"/>
  <c r="AC59" i="52"/>
  <c r="AB59" i="52"/>
  <c r="AA59" i="52"/>
  <c r="Y59" i="52"/>
  <c r="X59" i="52"/>
  <c r="W59" i="52"/>
  <c r="U59" i="52"/>
  <c r="T59" i="52"/>
  <c r="S59" i="52"/>
  <c r="Q59" i="52"/>
  <c r="P59" i="52"/>
  <c r="O59" i="52"/>
  <c r="N59" i="52"/>
  <c r="M59" i="52"/>
  <c r="AN58" i="52"/>
  <c r="AM58" i="52"/>
  <c r="AL58" i="52"/>
  <c r="AJ58" i="52"/>
  <c r="AI58" i="52"/>
  <c r="AH58" i="52"/>
  <c r="AF58" i="52"/>
  <c r="AE58" i="52"/>
  <c r="AC58" i="52"/>
  <c r="AB58" i="52"/>
  <c r="AA58" i="52"/>
  <c r="Y58" i="52"/>
  <c r="X58" i="52"/>
  <c r="W58" i="52"/>
  <c r="U58" i="52"/>
  <c r="T58" i="52"/>
  <c r="S58" i="52"/>
  <c r="Q58" i="52"/>
  <c r="P58" i="52"/>
  <c r="O58" i="52"/>
  <c r="N58" i="52"/>
  <c r="M58" i="52"/>
  <c r="AN57" i="52"/>
  <c r="AM57" i="52"/>
  <c r="AL57" i="52"/>
  <c r="AJ57" i="52"/>
  <c r="AI57" i="52"/>
  <c r="AH57" i="52"/>
  <c r="AF57" i="52"/>
  <c r="AE57" i="52"/>
  <c r="AC57" i="52"/>
  <c r="AB57" i="52"/>
  <c r="AA57" i="52"/>
  <c r="Y57" i="52"/>
  <c r="X57" i="52"/>
  <c r="W57" i="52"/>
  <c r="U57" i="52"/>
  <c r="T57" i="52"/>
  <c r="S57" i="52"/>
  <c r="Q57" i="52"/>
  <c r="P57" i="52"/>
  <c r="O57" i="52"/>
  <c r="N57" i="52"/>
  <c r="M57" i="52"/>
  <c r="AN56" i="52"/>
  <c r="AM56" i="52"/>
  <c r="AL56" i="52"/>
  <c r="AJ56" i="52"/>
  <c r="AI56" i="52"/>
  <c r="AH56" i="52"/>
  <c r="AF56" i="52"/>
  <c r="AE56" i="52"/>
  <c r="AC56" i="52"/>
  <c r="AB56" i="52"/>
  <c r="AA56" i="52"/>
  <c r="Y56" i="52"/>
  <c r="X56" i="52"/>
  <c r="W56" i="52"/>
  <c r="U56" i="52"/>
  <c r="T56" i="52"/>
  <c r="S56" i="52"/>
  <c r="Q56" i="52"/>
  <c r="P56" i="52"/>
  <c r="O56" i="52"/>
  <c r="N56" i="52"/>
  <c r="M56" i="52"/>
  <c r="AN55" i="52"/>
  <c r="AM55" i="52"/>
  <c r="AL55" i="52"/>
  <c r="AJ55" i="52"/>
  <c r="AI55" i="52"/>
  <c r="AH55" i="52"/>
  <c r="AF55" i="52"/>
  <c r="AE55" i="52"/>
  <c r="AC55" i="52"/>
  <c r="AB55" i="52"/>
  <c r="AA55" i="52"/>
  <c r="Y55" i="52"/>
  <c r="X55" i="52"/>
  <c r="W55" i="52"/>
  <c r="U55" i="52"/>
  <c r="T55" i="52"/>
  <c r="S55" i="52"/>
  <c r="Q55" i="52"/>
  <c r="P55" i="52"/>
  <c r="O55" i="52"/>
  <c r="N55" i="52"/>
  <c r="M55" i="52"/>
  <c r="AN54" i="52"/>
  <c r="AM54" i="52"/>
  <c r="AL54" i="52"/>
  <c r="AJ54" i="52"/>
  <c r="AI54" i="52"/>
  <c r="AH54" i="52"/>
  <c r="AF54" i="52"/>
  <c r="AE54" i="52"/>
  <c r="AC54" i="52"/>
  <c r="AB54" i="52"/>
  <c r="AA54" i="52"/>
  <c r="Y54" i="52"/>
  <c r="X54" i="52"/>
  <c r="W54" i="52"/>
  <c r="U54" i="52"/>
  <c r="T54" i="52"/>
  <c r="S54" i="52"/>
  <c r="Q54" i="52"/>
  <c r="P54" i="52"/>
  <c r="O54" i="52"/>
  <c r="N54" i="52"/>
  <c r="M54" i="52"/>
  <c r="AN53" i="52"/>
  <c r="AM53" i="52"/>
  <c r="AL53" i="52"/>
  <c r="AJ53" i="52"/>
  <c r="AI53" i="52"/>
  <c r="AH53" i="52"/>
  <c r="AF53" i="52"/>
  <c r="AE53" i="52"/>
  <c r="AC53" i="52"/>
  <c r="AB53" i="52"/>
  <c r="AA53" i="52"/>
  <c r="Y53" i="52"/>
  <c r="X53" i="52"/>
  <c r="W53" i="52"/>
  <c r="U53" i="52"/>
  <c r="T53" i="52"/>
  <c r="S53" i="52"/>
  <c r="Q53" i="52"/>
  <c r="P53" i="52"/>
  <c r="O53" i="52"/>
  <c r="N53" i="52"/>
  <c r="M53" i="52"/>
  <c r="AN52" i="52"/>
  <c r="AM52" i="52"/>
  <c r="AL52" i="52"/>
  <c r="AJ52" i="52"/>
  <c r="AI52" i="52"/>
  <c r="AH52" i="52"/>
  <c r="AF52" i="52"/>
  <c r="AE52" i="52"/>
  <c r="AC52" i="52"/>
  <c r="AB52" i="52"/>
  <c r="AA52" i="52"/>
  <c r="Y52" i="52"/>
  <c r="X52" i="52"/>
  <c r="W52" i="52"/>
  <c r="U52" i="52"/>
  <c r="T52" i="52"/>
  <c r="S52" i="52"/>
  <c r="Q52" i="52"/>
  <c r="P52" i="52"/>
  <c r="O52" i="52"/>
  <c r="N52" i="52"/>
  <c r="M52" i="52"/>
  <c r="AN51" i="52"/>
  <c r="AM51" i="52"/>
  <c r="AL51" i="52"/>
  <c r="AJ51" i="52"/>
  <c r="AI51" i="52"/>
  <c r="AH51" i="52"/>
  <c r="AF51" i="52"/>
  <c r="AE51" i="52"/>
  <c r="AC51" i="52"/>
  <c r="AB51" i="52"/>
  <c r="AA51" i="52"/>
  <c r="Y51" i="52"/>
  <c r="X51" i="52"/>
  <c r="W51" i="52"/>
  <c r="U51" i="52"/>
  <c r="T51" i="52"/>
  <c r="S51" i="52"/>
  <c r="Q51" i="52"/>
  <c r="P51" i="52"/>
  <c r="O51" i="52"/>
  <c r="N51" i="52"/>
  <c r="M51" i="52"/>
  <c r="AN49" i="52"/>
  <c r="AM49" i="52"/>
  <c r="AL49" i="52"/>
  <c r="AJ49" i="52"/>
  <c r="AI49" i="52"/>
  <c r="AH49" i="52"/>
  <c r="AF49" i="52"/>
  <c r="AE49" i="52"/>
  <c r="AC49" i="52"/>
  <c r="AB49" i="52"/>
  <c r="AA49" i="52"/>
  <c r="Y49" i="52"/>
  <c r="X49" i="52"/>
  <c r="W49" i="52"/>
  <c r="U49" i="52"/>
  <c r="T49" i="52"/>
  <c r="S49" i="52"/>
  <c r="Q49" i="52"/>
  <c r="P49" i="52"/>
  <c r="O49" i="52"/>
  <c r="N49" i="52"/>
  <c r="M49" i="52"/>
  <c r="AN48" i="52"/>
  <c r="AM48" i="52"/>
  <c r="AL48" i="52"/>
  <c r="AJ48" i="52"/>
  <c r="AI48" i="52"/>
  <c r="AH48" i="52"/>
  <c r="AF48" i="52"/>
  <c r="AE48" i="52"/>
  <c r="AC48" i="52"/>
  <c r="AB48" i="52"/>
  <c r="AA48" i="52"/>
  <c r="Y48" i="52"/>
  <c r="X48" i="52"/>
  <c r="W48" i="52"/>
  <c r="U48" i="52"/>
  <c r="T48" i="52"/>
  <c r="S48" i="52"/>
  <c r="Q48" i="52"/>
  <c r="P48" i="52"/>
  <c r="O48" i="52"/>
  <c r="N48" i="52"/>
  <c r="M48" i="52"/>
  <c r="AN47" i="52"/>
  <c r="AM47" i="52"/>
  <c r="AL47" i="52"/>
  <c r="AJ47" i="52"/>
  <c r="AI47" i="52"/>
  <c r="AH47" i="52"/>
  <c r="AF47" i="52"/>
  <c r="AE47" i="52"/>
  <c r="AC47" i="52"/>
  <c r="AB47" i="52"/>
  <c r="AA47" i="52"/>
  <c r="Y47" i="52"/>
  <c r="X47" i="52"/>
  <c r="W47" i="52"/>
  <c r="U47" i="52"/>
  <c r="T47" i="52"/>
  <c r="S47" i="52"/>
  <c r="Q47" i="52"/>
  <c r="P47" i="52"/>
  <c r="O47" i="52"/>
  <c r="N47" i="52"/>
  <c r="M47" i="52"/>
  <c r="AN46" i="52"/>
  <c r="AM46" i="52"/>
  <c r="AL46" i="52"/>
  <c r="AJ46" i="52"/>
  <c r="AI46" i="52"/>
  <c r="AH46" i="52"/>
  <c r="AF46" i="52"/>
  <c r="AE46" i="52"/>
  <c r="AC46" i="52"/>
  <c r="AB46" i="52"/>
  <c r="AA46" i="52"/>
  <c r="Y46" i="52"/>
  <c r="X46" i="52"/>
  <c r="W46" i="52"/>
  <c r="U46" i="52"/>
  <c r="T46" i="52"/>
  <c r="S46" i="52"/>
  <c r="Q46" i="52"/>
  <c r="P46" i="52"/>
  <c r="O46" i="52"/>
  <c r="N46" i="52"/>
  <c r="M46" i="52"/>
  <c r="AN45" i="52"/>
  <c r="AM45" i="52"/>
  <c r="AL45" i="52"/>
  <c r="AJ45" i="52"/>
  <c r="AI45" i="52"/>
  <c r="AH45" i="52"/>
  <c r="AF45" i="52"/>
  <c r="AE45" i="52"/>
  <c r="AC45" i="52"/>
  <c r="AB45" i="52"/>
  <c r="AA45" i="52"/>
  <c r="Y45" i="52"/>
  <c r="X45" i="52"/>
  <c r="W45" i="52"/>
  <c r="U45" i="52"/>
  <c r="T45" i="52"/>
  <c r="S45" i="52"/>
  <c r="Q45" i="52"/>
  <c r="P45" i="52"/>
  <c r="O45" i="52"/>
  <c r="N45" i="52"/>
  <c r="M45" i="52"/>
  <c r="AN44" i="52"/>
  <c r="AM44" i="52"/>
  <c r="AL44" i="52"/>
  <c r="AJ44" i="52"/>
  <c r="AI44" i="52"/>
  <c r="AH44" i="52"/>
  <c r="AF44" i="52"/>
  <c r="AE44" i="52"/>
  <c r="AC44" i="52"/>
  <c r="AB44" i="52"/>
  <c r="AA44" i="52"/>
  <c r="Y44" i="52"/>
  <c r="X44" i="52"/>
  <c r="W44" i="52"/>
  <c r="U44" i="52"/>
  <c r="T44" i="52"/>
  <c r="S44" i="52"/>
  <c r="Q44" i="52"/>
  <c r="P44" i="52"/>
  <c r="O44" i="52"/>
  <c r="N44" i="52"/>
  <c r="M44" i="52"/>
  <c r="AN43" i="52"/>
  <c r="AM43" i="52"/>
  <c r="AL43" i="52"/>
  <c r="AJ43" i="52"/>
  <c r="AI43" i="52"/>
  <c r="AH43" i="52"/>
  <c r="AF43" i="52"/>
  <c r="AE43" i="52"/>
  <c r="AC43" i="52"/>
  <c r="AB43" i="52"/>
  <c r="AA43" i="52"/>
  <c r="Y43" i="52"/>
  <c r="X43" i="52"/>
  <c r="W43" i="52"/>
  <c r="U43" i="52"/>
  <c r="T43" i="52"/>
  <c r="S43" i="52"/>
  <c r="Q43" i="52"/>
  <c r="P43" i="52"/>
  <c r="O43" i="52"/>
  <c r="N43" i="52"/>
  <c r="M43" i="52"/>
  <c r="AN42" i="52"/>
  <c r="AM42" i="52"/>
  <c r="AL42" i="52"/>
  <c r="AJ42" i="52"/>
  <c r="AI42" i="52"/>
  <c r="AH42" i="52"/>
  <c r="AF42" i="52"/>
  <c r="AE42" i="52"/>
  <c r="AC42" i="52"/>
  <c r="AB42" i="52"/>
  <c r="AA42" i="52"/>
  <c r="Y42" i="52"/>
  <c r="X42" i="52"/>
  <c r="W42" i="52"/>
  <c r="U42" i="52"/>
  <c r="T42" i="52"/>
  <c r="S42" i="52"/>
  <c r="Q42" i="52"/>
  <c r="P42" i="52"/>
  <c r="O42" i="52"/>
  <c r="N42" i="52"/>
  <c r="M42" i="52"/>
  <c r="AN41" i="52"/>
  <c r="AM41" i="52"/>
  <c r="AL41" i="52"/>
  <c r="AJ41" i="52"/>
  <c r="AI41" i="52"/>
  <c r="AH41" i="52"/>
  <c r="AF41" i="52"/>
  <c r="AE41" i="52"/>
  <c r="AC41" i="52"/>
  <c r="AB41" i="52"/>
  <c r="AA41" i="52"/>
  <c r="Y41" i="52"/>
  <c r="X41" i="52"/>
  <c r="W41" i="52"/>
  <c r="U41" i="52"/>
  <c r="T41" i="52"/>
  <c r="S41" i="52"/>
  <c r="Q41" i="52"/>
  <c r="P41" i="52"/>
  <c r="O41" i="52"/>
  <c r="N41" i="52"/>
  <c r="M41" i="52"/>
  <c r="AN40" i="52"/>
  <c r="AM40" i="52"/>
  <c r="AL40" i="52"/>
  <c r="AJ40" i="52"/>
  <c r="AI40" i="52"/>
  <c r="AH40" i="52"/>
  <c r="AF40" i="52"/>
  <c r="AE40" i="52"/>
  <c r="AC40" i="52"/>
  <c r="AB40" i="52"/>
  <c r="AA40" i="52"/>
  <c r="Y40" i="52"/>
  <c r="X40" i="52"/>
  <c r="W40" i="52"/>
  <c r="U40" i="52"/>
  <c r="T40" i="52"/>
  <c r="S40" i="52"/>
  <c r="Q40" i="52"/>
  <c r="P40" i="52"/>
  <c r="O40" i="52"/>
  <c r="N40" i="52"/>
  <c r="M40" i="52"/>
  <c r="AN39" i="52"/>
  <c r="AM39" i="52"/>
  <c r="AL39" i="52"/>
  <c r="AJ39" i="52"/>
  <c r="AI39" i="52"/>
  <c r="AH39" i="52"/>
  <c r="AF39" i="52"/>
  <c r="AE39" i="52"/>
  <c r="AC39" i="52"/>
  <c r="AB39" i="52"/>
  <c r="AA39" i="52"/>
  <c r="Y39" i="52"/>
  <c r="X39" i="52"/>
  <c r="W39" i="52"/>
  <c r="U39" i="52"/>
  <c r="T39" i="52"/>
  <c r="S39" i="52"/>
  <c r="Q39" i="52"/>
  <c r="P39" i="52"/>
  <c r="O39" i="52"/>
  <c r="N39" i="52"/>
  <c r="M39" i="52"/>
  <c r="AN38" i="52"/>
  <c r="AM38" i="52"/>
  <c r="AL38" i="52"/>
  <c r="AJ38" i="52"/>
  <c r="AI38" i="52"/>
  <c r="AH38" i="52"/>
  <c r="AF38" i="52"/>
  <c r="AE38" i="52"/>
  <c r="AC38" i="52"/>
  <c r="AB38" i="52"/>
  <c r="AA38" i="52"/>
  <c r="Y38" i="52"/>
  <c r="X38" i="52"/>
  <c r="W38" i="52"/>
  <c r="U38" i="52"/>
  <c r="T38" i="52"/>
  <c r="S38" i="52"/>
  <c r="Q38" i="52"/>
  <c r="P38" i="52"/>
  <c r="O38" i="52"/>
  <c r="N38" i="52"/>
  <c r="M38" i="52"/>
  <c r="AN36" i="52"/>
  <c r="AM36" i="52"/>
  <c r="AL36" i="52"/>
  <c r="AJ36" i="52"/>
  <c r="AI36" i="52"/>
  <c r="AH36" i="52"/>
  <c r="AF36" i="52"/>
  <c r="AE36" i="52"/>
  <c r="AC36" i="52"/>
  <c r="AB36" i="52"/>
  <c r="AA36" i="52"/>
  <c r="Y36" i="52"/>
  <c r="X36" i="52"/>
  <c r="W36" i="52"/>
  <c r="U36" i="52"/>
  <c r="T36" i="52"/>
  <c r="S36" i="52"/>
  <c r="Q36" i="52"/>
  <c r="P36" i="52"/>
  <c r="O36" i="52"/>
  <c r="N36" i="52"/>
  <c r="M36" i="52"/>
  <c r="L36" i="52"/>
  <c r="L58" i="52" s="1"/>
  <c r="AN34" i="52"/>
  <c r="AM34" i="52"/>
  <c r="AL34" i="52"/>
  <c r="AJ34" i="52"/>
  <c r="AI34" i="52"/>
  <c r="AH34" i="52"/>
  <c r="AF34" i="52"/>
  <c r="AE34" i="52"/>
  <c r="AC34" i="52"/>
  <c r="AB34" i="52"/>
  <c r="AA34" i="52"/>
  <c r="Y34" i="52"/>
  <c r="X34" i="52"/>
  <c r="W34" i="52"/>
  <c r="U34" i="52"/>
  <c r="T34" i="52"/>
  <c r="S34" i="52"/>
  <c r="Q34" i="52"/>
  <c r="P34" i="52"/>
  <c r="O34" i="52"/>
  <c r="N34" i="52"/>
  <c r="M34" i="52"/>
  <c r="L34" i="52"/>
  <c r="AN33" i="52"/>
  <c r="AM33" i="52"/>
  <c r="AL33" i="52"/>
  <c r="AJ33" i="52"/>
  <c r="AI33" i="52"/>
  <c r="AH33" i="52"/>
  <c r="AF33" i="52"/>
  <c r="AE33" i="52"/>
  <c r="AC33" i="52"/>
  <c r="AB33" i="52"/>
  <c r="AA33" i="52"/>
  <c r="Y33" i="52"/>
  <c r="X33" i="52"/>
  <c r="W33" i="52"/>
  <c r="U33" i="52"/>
  <c r="T33" i="52"/>
  <c r="S33" i="52"/>
  <c r="Q33" i="52"/>
  <c r="P33" i="52"/>
  <c r="O33" i="52"/>
  <c r="N33" i="52"/>
  <c r="M33" i="52"/>
  <c r="L33" i="52"/>
  <c r="AN32" i="52"/>
  <c r="AM32" i="52"/>
  <c r="AL32" i="52"/>
  <c r="AJ32" i="52"/>
  <c r="AI32" i="52"/>
  <c r="AH32" i="52"/>
  <c r="AF32" i="52"/>
  <c r="AE32" i="52"/>
  <c r="AC32" i="52"/>
  <c r="AB32" i="52"/>
  <c r="AA32" i="52"/>
  <c r="Y32" i="52"/>
  <c r="X32" i="52"/>
  <c r="W32" i="52"/>
  <c r="U32" i="52"/>
  <c r="T32" i="52"/>
  <c r="S32" i="52"/>
  <c r="Q32" i="52"/>
  <c r="P32" i="52"/>
  <c r="O32" i="52"/>
  <c r="N32" i="52"/>
  <c r="M32" i="52"/>
  <c r="L32" i="52"/>
  <c r="AN31" i="52"/>
  <c r="AM31" i="52"/>
  <c r="AL31" i="52"/>
  <c r="AJ31" i="52"/>
  <c r="AI31" i="52"/>
  <c r="AH31" i="52"/>
  <c r="AF31" i="52"/>
  <c r="AE31" i="52"/>
  <c r="AC31" i="52"/>
  <c r="AB31" i="52"/>
  <c r="AA31" i="52"/>
  <c r="Y31" i="52"/>
  <c r="X31" i="52"/>
  <c r="W31" i="52"/>
  <c r="U31" i="52"/>
  <c r="T31" i="52"/>
  <c r="S31" i="52"/>
  <c r="Q31" i="52"/>
  <c r="P31" i="52"/>
  <c r="O31" i="52"/>
  <c r="N31" i="52"/>
  <c r="M31" i="52"/>
  <c r="L31" i="52"/>
  <c r="AN30" i="52"/>
  <c r="AM30" i="52"/>
  <c r="AL30" i="52"/>
  <c r="AJ30" i="52"/>
  <c r="AI30" i="52"/>
  <c r="AH30" i="52"/>
  <c r="AF30" i="52"/>
  <c r="AE30" i="52"/>
  <c r="AC30" i="52"/>
  <c r="AB30" i="52"/>
  <c r="AA30" i="52"/>
  <c r="Y30" i="52"/>
  <c r="X30" i="52"/>
  <c r="W30" i="52"/>
  <c r="U30" i="52"/>
  <c r="T30" i="52"/>
  <c r="S30" i="52"/>
  <c r="Q30" i="52"/>
  <c r="P30" i="52"/>
  <c r="O30" i="52"/>
  <c r="N30" i="52"/>
  <c r="M30" i="52"/>
  <c r="L30" i="52"/>
  <c r="AN29" i="52"/>
  <c r="AM29" i="52"/>
  <c r="AL29" i="52"/>
  <c r="AJ29" i="52"/>
  <c r="AI29" i="52"/>
  <c r="AH29" i="52"/>
  <c r="AF29" i="52"/>
  <c r="AE29" i="52"/>
  <c r="AC29" i="52"/>
  <c r="AB29" i="52"/>
  <c r="AA29" i="52"/>
  <c r="Y29" i="52"/>
  <c r="X29" i="52"/>
  <c r="W29" i="52"/>
  <c r="U29" i="52"/>
  <c r="T29" i="52"/>
  <c r="S29" i="52"/>
  <c r="Q29" i="52"/>
  <c r="P29" i="52"/>
  <c r="O29" i="52"/>
  <c r="N29" i="52"/>
  <c r="M29" i="52"/>
  <c r="L29" i="52"/>
  <c r="AN28" i="52"/>
  <c r="AM28" i="52"/>
  <c r="AL28" i="52"/>
  <c r="AJ28" i="52"/>
  <c r="AI28" i="52"/>
  <c r="AH28" i="52"/>
  <c r="AF28" i="52"/>
  <c r="AE28" i="52"/>
  <c r="AC28" i="52"/>
  <c r="AB28" i="52"/>
  <c r="AA28" i="52"/>
  <c r="Y28" i="52"/>
  <c r="X28" i="52"/>
  <c r="W28" i="52"/>
  <c r="U28" i="52"/>
  <c r="T28" i="52"/>
  <c r="S28" i="52"/>
  <c r="Q28" i="52"/>
  <c r="P28" i="52"/>
  <c r="O28" i="52"/>
  <c r="N28" i="52"/>
  <c r="M28" i="52"/>
  <c r="L28" i="52"/>
  <c r="AN27" i="52"/>
  <c r="AM27" i="52"/>
  <c r="AL27" i="52"/>
  <c r="AJ27" i="52"/>
  <c r="AI27" i="52"/>
  <c r="AH27" i="52"/>
  <c r="AF27" i="52"/>
  <c r="AE27" i="52"/>
  <c r="AC27" i="52"/>
  <c r="AB27" i="52"/>
  <c r="AA27" i="52"/>
  <c r="Y27" i="52"/>
  <c r="X27" i="52"/>
  <c r="W27" i="52"/>
  <c r="U27" i="52"/>
  <c r="T27" i="52"/>
  <c r="S27" i="52"/>
  <c r="Q27" i="52"/>
  <c r="P27" i="52"/>
  <c r="O27" i="52"/>
  <c r="N27" i="52"/>
  <c r="M27" i="52"/>
  <c r="L27" i="52"/>
  <c r="AN26" i="52"/>
  <c r="AM26" i="52"/>
  <c r="AL26" i="52"/>
  <c r="AJ26" i="52"/>
  <c r="AI26" i="52"/>
  <c r="AH26" i="52"/>
  <c r="AF26" i="52"/>
  <c r="AE26" i="52"/>
  <c r="AC26" i="52"/>
  <c r="AB26" i="52"/>
  <c r="AA26" i="52"/>
  <c r="Y26" i="52"/>
  <c r="X26" i="52"/>
  <c r="W26" i="52"/>
  <c r="U26" i="52"/>
  <c r="T26" i="52"/>
  <c r="S26" i="52"/>
  <c r="Q26" i="52"/>
  <c r="P26" i="52"/>
  <c r="O26" i="52"/>
  <c r="N26" i="52"/>
  <c r="M26" i="52"/>
  <c r="L26" i="52"/>
  <c r="AN25" i="52"/>
  <c r="AM25" i="52"/>
  <c r="AL25" i="52"/>
  <c r="AJ25" i="52"/>
  <c r="AI25" i="52"/>
  <c r="AH25" i="52"/>
  <c r="AF25" i="52"/>
  <c r="AE25" i="52"/>
  <c r="AC25" i="52"/>
  <c r="AB25" i="52"/>
  <c r="AA25" i="52"/>
  <c r="Y25" i="52"/>
  <c r="X25" i="52"/>
  <c r="W25" i="52"/>
  <c r="U25" i="52"/>
  <c r="T25" i="52"/>
  <c r="S25" i="52"/>
  <c r="Q25" i="52"/>
  <c r="P25" i="52"/>
  <c r="O25" i="52"/>
  <c r="N25" i="52"/>
  <c r="M25" i="52"/>
  <c r="L25" i="52"/>
  <c r="AN24" i="52"/>
  <c r="AM24" i="52"/>
  <c r="AL24" i="52"/>
  <c r="AJ24" i="52"/>
  <c r="AI24" i="52"/>
  <c r="AH24" i="52"/>
  <c r="AF24" i="52"/>
  <c r="AE24" i="52"/>
  <c r="AC24" i="52"/>
  <c r="AB24" i="52"/>
  <c r="AA24" i="52"/>
  <c r="Y24" i="52"/>
  <c r="X24" i="52"/>
  <c r="W24" i="52"/>
  <c r="U24" i="52"/>
  <c r="T24" i="52"/>
  <c r="S24" i="52"/>
  <c r="Q24" i="52"/>
  <c r="P24" i="52"/>
  <c r="O24" i="52"/>
  <c r="N24" i="52"/>
  <c r="M24" i="52"/>
  <c r="L24" i="52"/>
  <c r="AN23" i="52"/>
  <c r="AM23" i="52"/>
  <c r="AL23" i="52"/>
  <c r="AJ23" i="52"/>
  <c r="AI23" i="52"/>
  <c r="AH23" i="52"/>
  <c r="AF23" i="52"/>
  <c r="AE23" i="52"/>
  <c r="AC23" i="52"/>
  <c r="AB23" i="52"/>
  <c r="AA23" i="52"/>
  <c r="Y23" i="52"/>
  <c r="X23" i="52"/>
  <c r="W23" i="52"/>
  <c r="U23" i="52"/>
  <c r="T23" i="52"/>
  <c r="S23" i="52"/>
  <c r="Q23" i="52"/>
  <c r="P23" i="52"/>
  <c r="O23" i="52"/>
  <c r="N23" i="52"/>
  <c r="M23" i="52"/>
  <c r="L23" i="52"/>
  <c r="K22" i="52"/>
  <c r="AJ22" i="52" s="1"/>
  <c r="J22" i="52"/>
  <c r="AI22" i="52" s="1"/>
  <c r="I22" i="52"/>
  <c r="Y22" i="52" s="1"/>
  <c r="H22" i="52"/>
  <c r="G22" i="52"/>
  <c r="P22" i="52" s="1"/>
  <c r="F22" i="52"/>
  <c r="O22" i="52" s="1"/>
  <c r="E22" i="52"/>
  <c r="T22" i="52" s="1"/>
  <c r="D22" i="52"/>
  <c r="AM22" i="52" s="1"/>
  <c r="C22" i="52"/>
  <c r="AL22" i="52" s="1"/>
  <c r="B22" i="52"/>
  <c r="W22" i="52" s="1"/>
  <c r="AN21" i="52"/>
  <c r="AM21" i="52"/>
  <c r="AL21" i="52"/>
  <c r="AJ21" i="52"/>
  <c r="AI21" i="52"/>
  <c r="AH21" i="52"/>
  <c r="AF21" i="52"/>
  <c r="AE21" i="52"/>
  <c r="AC21" i="52"/>
  <c r="AB21" i="52"/>
  <c r="AA21" i="52"/>
  <c r="Y21" i="52"/>
  <c r="X21" i="52"/>
  <c r="W21" i="52"/>
  <c r="U21" i="52"/>
  <c r="T21" i="52"/>
  <c r="S21" i="52"/>
  <c r="Q21" i="52"/>
  <c r="P21" i="52"/>
  <c r="O21" i="52"/>
  <c r="N21" i="52"/>
  <c r="M21" i="52"/>
  <c r="L21" i="52"/>
  <c r="AN20" i="52"/>
  <c r="AM20" i="52"/>
  <c r="AL20" i="52"/>
  <c r="AJ20" i="52"/>
  <c r="AI20" i="52"/>
  <c r="AH20" i="52"/>
  <c r="AF20" i="52"/>
  <c r="AE20" i="52"/>
  <c r="AC20" i="52"/>
  <c r="AB20" i="52"/>
  <c r="AA20" i="52"/>
  <c r="Y20" i="52"/>
  <c r="X20" i="52"/>
  <c r="W20" i="52"/>
  <c r="U20" i="52"/>
  <c r="T20" i="52"/>
  <c r="S20" i="52"/>
  <c r="Q20" i="52"/>
  <c r="P20" i="52"/>
  <c r="O20" i="52"/>
  <c r="N20" i="52"/>
  <c r="M20" i="52"/>
  <c r="L20" i="52"/>
  <c r="AN19" i="52"/>
  <c r="AM19" i="52"/>
  <c r="AL19" i="52"/>
  <c r="AJ19" i="52"/>
  <c r="AI19" i="52"/>
  <c r="AH19" i="52"/>
  <c r="AF19" i="52"/>
  <c r="AE19" i="52"/>
  <c r="AC19" i="52"/>
  <c r="AB19" i="52"/>
  <c r="AA19" i="52"/>
  <c r="Y19" i="52"/>
  <c r="X19" i="52"/>
  <c r="W19" i="52"/>
  <c r="U19" i="52"/>
  <c r="T19" i="52"/>
  <c r="S19" i="52"/>
  <c r="Q19" i="52"/>
  <c r="P19" i="52"/>
  <c r="O19" i="52"/>
  <c r="N19" i="52"/>
  <c r="M19" i="52"/>
  <c r="L19" i="52"/>
  <c r="AN18" i="52"/>
  <c r="AM18" i="52"/>
  <c r="AL18" i="52"/>
  <c r="AJ18" i="52"/>
  <c r="AI18" i="52"/>
  <c r="AH18" i="52"/>
  <c r="AF18" i="52"/>
  <c r="AE18" i="52"/>
  <c r="AC18" i="52"/>
  <c r="AB18" i="52"/>
  <c r="AA18" i="52"/>
  <c r="Y18" i="52"/>
  <c r="X18" i="52"/>
  <c r="W18" i="52"/>
  <c r="U18" i="52"/>
  <c r="T18" i="52"/>
  <c r="S18" i="52"/>
  <c r="Q18" i="52"/>
  <c r="P18" i="52"/>
  <c r="O18" i="52"/>
  <c r="N18" i="52"/>
  <c r="M18" i="52"/>
  <c r="L18" i="52"/>
  <c r="AN17" i="52"/>
  <c r="AM17" i="52"/>
  <c r="AL17" i="52"/>
  <c r="AJ17" i="52"/>
  <c r="AI17" i="52"/>
  <c r="AH17" i="52"/>
  <c r="AF17" i="52"/>
  <c r="AE17" i="52"/>
  <c r="AC17" i="52"/>
  <c r="AB17" i="52"/>
  <c r="AA17" i="52"/>
  <c r="Y17" i="52"/>
  <c r="X17" i="52"/>
  <c r="W17" i="52"/>
  <c r="U17" i="52"/>
  <c r="T17" i="52"/>
  <c r="S17" i="52"/>
  <c r="Q17" i="52"/>
  <c r="P17" i="52"/>
  <c r="O17" i="52"/>
  <c r="N17" i="52"/>
  <c r="M17" i="52"/>
  <c r="L17" i="52"/>
  <c r="AN16" i="52"/>
  <c r="AM16" i="52"/>
  <c r="AL16" i="52"/>
  <c r="AJ16" i="52"/>
  <c r="AI16" i="52"/>
  <c r="AH16" i="52"/>
  <c r="AF16" i="52"/>
  <c r="AE16" i="52"/>
  <c r="AC16" i="52"/>
  <c r="AB16" i="52"/>
  <c r="AA16" i="52"/>
  <c r="Y16" i="52"/>
  <c r="X16" i="52"/>
  <c r="W16" i="52"/>
  <c r="U16" i="52"/>
  <c r="T16" i="52"/>
  <c r="S16" i="52"/>
  <c r="Q16" i="52"/>
  <c r="P16" i="52"/>
  <c r="O16" i="52"/>
  <c r="N16" i="52"/>
  <c r="M16" i="52"/>
  <c r="L16" i="52"/>
  <c r="AN15" i="52"/>
  <c r="AM15" i="52"/>
  <c r="AL15" i="52"/>
  <c r="AJ15" i="52"/>
  <c r="AI15" i="52"/>
  <c r="AH15" i="52"/>
  <c r="AF15" i="52"/>
  <c r="AE15" i="52"/>
  <c r="AC15" i="52"/>
  <c r="AB15" i="52"/>
  <c r="AA15" i="52"/>
  <c r="Y15" i="52"/>
  <c r="X15" i="52"/>
  <c r="W15" i="52"/>
  <c r="U15" i="52"/>
  <c r="T15" i="52"/>
  <c r="S15" i="52"/>
  <c r="Q15" i="52"/>
  <c r="P15" i="52"/>
  <c r="O15" i="52"/>
  <c r="N15" i="52"/>
  <c r="M15" i="52"/>
  <c r="L15" i="52"/>
  <c r="AN14" i="52"/>
  <c r="AM14" i="52"/>
  <c r="AL14" i="52"/>
  <c r="AJ14" i="52"/>
  <c r="AI14" i="52"/>
  <c r="AH14" i="52"/>
  <c r="AF14" i="52"/>
  <c r="AE14" i="52"/>
  <c r="AC14" i="52"/>
  <c r="AB14" i="52"/>
  <c r="AA14" i="52"/>
  <c r="Y14" i="52"/>
  <c r="X14" i="52"/>
  <c r="W14" i="52"/>
  <c r="U14" i="52"/>
  <c r="T14" i="52"/>
  <c r="S14" i="52"/>
  <c r="Q14" i="52"/>
  <c r="P14" i="52"/>
  <c r="O14" i="52"/>
  <c r="N14" i="52"/>
  <c r="M14" i="52"/>
  <c r="L14" i="52"/>
  <c r="AN13" i="52"/>
  <c r="AM13" i="52"/>
  <c r="AL13" i="52"/>
  <c r="AJ13" i="52"/>
  <c r="AI13" i="52"/>
  <c r="AH13" i="52"/>
  <c r="AF13" i="52"/>
  <c r="AE13" i="52"/>
  <c r="AC13" i="52"/>
  <c r="AB13" i="52"/>
  <c r="AA13" i="52"/>
  <c r="Y13" i="52"/>
  <c r="X13" i="52"/>
  <c r="W13" i="52"/>
  <c r="U13" i="52"/>
  <c r="T13" i="52"/>
  <c r="S13" i="52"/>
  <c r="Q13" i="52"/>
  <c r="P13" i="52"/>
  <c r="O13" i="52"/>
  <c r="N13" i="52"/>
  <c r="M13" i="52"/>
  <c r="L13" i="52"/>
  <c r="AN12" i="52"/>
  <c r="AM12" i="52"/>
  <c r="AL12" i="52"/>
  <c r="AJ12" i="52"/>
  <c r="AI12" i="52"/>
  <c r="AH12" i="52"/>
  <c r="AF12" i="52"/>
  <c r="AE12" i="52"/>
  <c r="AC12" i="52"/>
  <c r="AB12" i="52"/>
  <c r="AA12" i="52"/>
  <c r="Y12" i="52"/>
  <c r="X12" i="52"/>
  <c r="W12" i="52"/>
  <c r="U12" i="52"/>
  <c r="T12" i="52"/>
  <c r="S12" i="52"/>
  <c r="Q12" i="52"/>
  <c r="P12" i="52"/>
  <c r="O12" i="52"/>
  <c r="N12" i="52"/>
  <c r="M12" i="52"/>
  <c r="L12" i="52"/>
  <c r="AN11" i="52"/>
  <c r="AM11" i="52"/>
  <c r="AL11" i="52"/>
  <c r="AJ11" i="52"/>
  <c r="AI11" i="52"/>
  <c r="AH11" i="52"/>
  <c r="AF11" i="52"/>
  <c r="AE11" i="52"/>
  <c r="AC11" i="52"/>
  <c r="AB11" i="52"/>
  <c r="AA11" i="52"/>
  <c r="Y11" i="52"/>
  <c r="X11" i="52"/>
  <c r="W11" i="52"/>
  <c r="U11" i="52"/>
  <c r="T11" i="52"/>
  <c r="S11" i="52"/>
  <c r="Q11" i="52"/>
  <c r="P11" i="52"/>
  <c r="O11" i="52"/>
  <c r="N11" i="52"/>
  <c r="M11" i="52"/>
  <c r="L11" i="52"/>
  <c r="AN10" i="52"/>
  <c r="AM10" i="52"/>
  <c r="AL10" i="52"/>
  <c r="AJ10" i="52"/>
  <c r="AI10" i="52"/>
  <c r="AH10" i="52"/>
  <c r="AF10" i="52"/>
  <c r="AE10" i="52"/>
  <c r="AC10" i="52"/>
  <c r="AB10" i="52"/>
  <c r="AA10" i="52"/>
  <c r="Y10" i="52"/>
  <c r="X10" i="52"/>
  <c r="W10" i="52"/>
  <c r="U10" i="52"/>
  <c r="T10" i="52"/>
  <c r="S10" i="52"/>
  <c r="Q10" i="52"/>
  <c r="P10" i="52"/>
  <c r="O10" i="52"/>
  <c r="N10" i="52"/>
  <c r="M10" i="52"/>
  <c r="L10" i="52"/>
  <c r="AN9" i="52"/>
  <c r="AM9" i="52"/>
  <c r="AL9" i="52"/>
  <c r="AJ9" i="52"/>
  <c r="AI9" i="52"/>
  <c r="AH9" i="52"/>
  <c r="AF9" i="52"/>
  <c r="AE9" i="52"/>
  <c r="AC9" i="52"/>
  <c r="AB9" i="52"/>
  <c r="AA9" i="52"/>
  <c r="Y9" i="52"/>
  <c r="X9" i="52"/>
  <c r="W9" i="52"/>
  <c r="U9" i="52"/>
  <c r="T9" i="52"/>
  <c r="S9" i="52"/>
  <c r="Q9" i="52"/>
  <c r="P9" i="52"/>
  <c r="O9" i="52"/>
  <c r="N9" i="52"/>
  <c r="M9" i="52"/>
  <c r="L9" i="52"/>
  <c r="AN8" i="52"/>
  <c r="AM8" i="52"/>
  <c r="AL8" i="52"/>
  <c r="AJ8" i="52"/>
  <c r="AI8" i="52"/>
  <c r="AH8" i="52"/>
  <c r="AF8" i="52"/>
  <c r="AE8" i="52"/>
  <c r="AC8" i="52"/>
  <c r="AB8" i="52"/>
  <c r="AA8" i="52"/>
  <c r="Y8" i="52"/>
  <c r="X8" i="52"/>
  <c r="W8" i="52"/>
  <c r="U8" i="52"/>
  <c r="T8" i="52"/>
  <c r="S8" i="52"/>
  <c r="Q8" i="52"/>
  <c r="P8" i="52"/>
  <c r="O8" i="52"/>
  <c r="N8" i="52"/>
  <c r="M8" i="52"/>
  <c r="L8" i="52"/>
  <c r="AN7" i="52"/>
  <c r="AM7" i="52"/>
  <c r="AL7" i="52"/>
  <c r="AJ7" i="52"/>
  <c r="AI7" i="52"/>
  <c r="AH7" i="52"/>
  <c r="AF7" i="52"/>
  <c r="AE7" i="52"/>
  <c r="AC7" i="52"/>
  <c r="AB7" i="52"/>
  <c r="AA7" i="52"/>
  <c r="Y7" i="52"/>
  <c r="X7" i="52"/>
  <c r="W7" i="52"/>
  <c r="U7" i="52"/>
  <c r="T7" i="52"/>
  <c r="S7" i="52"/>
  <c r="Q7" i="52"/>
  <c r="P7" i="52"/>
  <c r="O7" i="52"/>
  <c r="N7" i="52"/>
  <c r="M7" i="52"/>
  <c r="L7" i="52"/>
  <c r="AN6" i="52"/>
  <c r="AM6" i="52"/>
  <c r="AL6" i="52"/>
  <c r="AJ6" i="52"/>
  <c r="AI6" i="52"/>
  <c r="AH6" i="52"/>
  <c r="AF6" i="52"/>
  <c r="AE6" i="52"/>
  <c r="AC6" i="52"/>
  <c r="AB6" i="52"/>
  <c r="AA6" i="52"/>
  <c r="Y6" i="52"/>
  <c r="X6" i="52"/>
  <c r="W6" i="52"/>
  <c r="U6" i="52"/>
  <c r="T6" i="52"/>
  <c r="S6" i="52"/>
  <c r="Q6" i="52"/>
  <c r="P6" i="52"/>
  <c r="O6" i="52"/>
  <c r="N6" i="52"/>
  <c r="M6" i="52"/>
  <c r="L6" i="52"/>
  <c r="AN5" i="52"/>
  <c r="AM5" i="52"/>
  <c r="AL5" i="52"/>
  <c r="AJ5" i="52"/>
  <c r="AI5" i="52"/>
  <c r="AH5" i="52"/>
  <c r="AF5" i="52"/>
  <c r="AE5" i="52"/>
  <c r="AC5" i="52"/>
  <c r="AB5" i="52"/>
  <c r="AA5" i="52"/>
  <c r="Y5" i="52"/>
  <c r="X5" i="52"/>
  <c r="W5" i="52"/>
  <c r="U5" i="52"/>
  <c r="T5" i="52"/>
  <c r="S5" i="52"/>
  <c r="Q5" i="52"/>
  <c r="P5" i="52"/>
  <c r="O5" i="52"/>
  <c r="N5" i="52"/>
  <c r="M5" i="52"/>
  <c r="L5" i="52"/>
  <c r="AN4" i="52"/>
  <c r="AM4" i="52"/>
  <c r="AL4" i="52"/>
  <c r="AJ4" i="52"/>
  <c r="AI4" i="52"/>
  <c r="AH4" i="52"/>
  <c r="AF4" i="52"/>
  <c r="AE4" i="52"/>
  <c r="AC4" i="52"/>
  <c r="AB4" i="52"/>
  <c r="AA4" i="52"/>
  <c r="Y4" i="52"/>
  <c r="X4" i="52"/>
  <c r="W4" i="52"/>
  <c r="U4" i="52"/>
  <c r="T4" i="52"/>
  <c r="S4" i="52"/>
  <c r="Q4" i="52"/>
  <c r="P4" i="52"/>
  <c r="O4" i="52"/>
  <c r="N4" i="52"/>
  <c r="M4" i="52"/>
  <c r="L4" i="52"/>
  <c r="AN3" i="52"/>
  <c r="AM3" i="52"/>
  <c r="AL3" i="52"/>
  <c r="AJ3" i="52"/>
  <c r="AI3" i="52"/>
  <c r="AH3" i="52"/>
  <c r="AF3" i="52"/>
  <c r="AE3" i="52"/>
  <c r="AC3" i="52"/>
  <c r="AB3" i="52"/>
  <c r="AA3" i="52"/>
  <c r="Y3" i="52"/>
  <c r="X3" i="52"/>
  <c r="W3" i="52"/>
  <c r="U3" i="52"/>
  <c r="T3" i="52"/>
  <c r="S3" i="52"/>
  <c r="Q3" i="52"/>
  <c r="P3" i="52"/>
  <c r="O3" i="52"/>
  <c r="N3" i="52"/>
  <c r="M3" i="52"/>
  <c r="L3" i="52"/>
  <c r="BR66" i="51"/>
  <c r="BR63" i="51"/>
  <c r="BQ62" i="51"/>
  <c r="BQ36" i="51"/>
  <c r="BQ34" i="51"/>
  <c r="BQ33" i="51"/>
  <c r="BQ32" i="51"/>
  <c r="BQ31" i="51"/>
  <c r="BQ30" i="51"/>
  <c r="BQ29" i="51"/>
  <c r="BQ28" i="51"/>
  <c r="BQ27" i="51"/>
  <c r="BQ26" i="51"/>
  <c r="BQ25" i="51"/>
  <c r="BQ24" i="51"/>
  <c r="BQ23" i="51"/>
  <c r="BQ22" i="51"/>
  <c r="BQ21" i="51"/>
  <c r="BQ20" i="51"/>
  <c r="BQ19" i="51"/>
  <c r="BQ18" i="51"/>
  <c r="BQ17" i="51"/>
  <c r="BQ16" i="51"/>
  <c r="BQ15" i="51"/>
  <c r="BQ14" i="51"/>
  <c r="BQ13" i="51"/>
  <c r="BQ12" i="51"/>
  <c r="BQ11" i="51"/>
  <c r="BQ10" i="51"/>
  <c r="BQ9" i="51"/>
  <c r="BQ8" i="51"/>
  <c r="BQ7" i="51"/>
  <c r="BQ6" i="51"/>
  <c r="BQ5" i="51"/>
  <c r="BQ4" i="51"/>
  <c r="BQ3" i="51"/>
  <c r="BP62" i="51"/>
  <c r="BP36" i="51"/>
  <c r="BP34" i="51"/>
  <c r="BP33" i="51"/>
  <c r="BP32" i="51"/>
  <c r="BP31" i="51"/>
  <c r="BP30" i="51"/>
  <c r="BP29" i="51"/>
  <c r="BP28" i="51"/>
  <c r="BP27" i="51"/>
  <c r="BP26" i="51"/>
  <c r="BP25" i="51"/>
  <c r="BP24" i="51"/>
  <c r="BP23" i="51"/>
  <c r="BP22" i="51"/>
  <c r="BP21" i="51"/>
  <c r="BP20" i="51"/>
  <c r="BP19" i="51"/>
  <c r="BP18" i="51"/>
  <c r="BP17" i="51"/>
  <c r="BP16" i="51"/>
  <c r="BP15" i="51"/>
  <c r="BP14" i="51"/>
  <c r="BP13" i="51"/>
  <c r="BP12" i="51"/>
  <c r="BP11" i="51"/>
  <c r="BP10" i="51"/>
  <c r="BP9" i="51"/>
  <c r="BP8" i="51"/>
  <c r="BP7" i="51"/>
  <c r="BP6" i="51"/>
  <c r="BP5" i="51"/>
  <c r="BP4" i="51"/>
  <c r="BP3" i="51"/>
  <c r="BN62" i="51"/>
  <c r="BN36" i="51"/>
  <c r="BN34" i="51"/>
  <c r="BN33" i="51"/>
  <c r="BN32" i="51"/>
  <c r="BN31" i="51"/>
  <c r="BN30" i="51"/>
  <c r="BN29" i="51"/>
  <c r="BN28" i="51"/>
  <c r="BN27" i="51"/>
  <c r="BN26" i="51"/>
  <c r="BN25" i="51"/>
  <c r="BN24" i="51"/>
  <c r="BN23" i="51"/>
  <c r="BN22" i="51"/>
  <c r="BN21" i="51"/>
  <c r="BN20" i="51"/>
  <c r="BN19" i="51"/>
  <c r="BN18" i="51"/>
  <c r="BN17" i="51"/>
  <c r="BN16" i="51"/>
  <c r="BN15" i="51"/>
  <c r="BN14" i="51"/>
  <c r="BN13" i="51"/>
  <c r="BN12" i="51"/>
  <c r="BN11" i="51"/>
  <c r="BN10" i="51"/>
  <c r="BN9" i="51"/>
  <c r="BN8" i="51"/>
  <c r="BN7" i="51"/>
  <c r="BN6" i="51"/>
  <c r="BN5" i="51"/>
  <c r="BN4" i="51"/>
  <c r="BN3" i="51"/>
  <c r="BL66" i="51"/>
  <c r="BK66" i="51"/>
  <c r="BL65" i="51"/>
  <c r="BK65" i="51"/>
  <c r="BL64" i="51"/>
  <c r="BK64" i="51"/>
  <c r="BL63" i="51"/>
  <c r="BK63" i="51"/>
  <c r="BL62" i="51"/>
  <c r="BK62" i="51"/>
  <c r="BL60" i="51"/>
  <c r="BK60" i="51"/>
  <c r="BL59" i="51"/>
  <c r="BK59" i="51"/>
  <c r="BL58" i="51"/>
  <c r="BK58" i="51"/>
  <c r="BL57" i="51"/>
  <c r="BK57" i="51"/>
  <c r="BL56" i="51"/>
  <c r="BK56" i="51"/>
  <c r="BL55" i="51"/>
  <c r="BK55" i="51"/>
  <c r="BL54" i="51"/>
  <c r="BK54" i="51"/>
  <c r="BL53" i="51"/>
  <c r="BK53" i="51"/>
  <c r="BL52" i="51"/>
  <c r="BK52" i="51"/>
  <c r="BL51" i="51"/>
  <c r="BK51" i="51"/>
  <c r="BL49" i="51"/>
  <c r="BK49" i="51"/>
  <c r="BL48" i="51"/>
  <c r="BK48" i="51"/>
  <c r="BL47" i="51"/>
  <c r="BK47" i="51"/>
  <c r="BL46" i="51"/>
  <c r="BK46" i="51"/>
  <c r="BL45" i="51"/>
  <c r="BK45" i="51"/>
  <c r="BL44" i="51"/>
  <c r="BK44" i="51"/>
  <c r="BL43" i="51"/>
  <c r="BK43" i="51"/>
  <c r="BL42" i="51"/>
  <c r="BK42" i="51"/>
  <c r="BL41" i="51"/>
  <c r="BK41" i="51"/>
  <c r="BL40" i="51"/>
  <c r="BK40" i="51"/>
  <c r="BL39" i="51"/>
  <c r="BK39" i="51"/>
  <c r="BL38" i="51"/>
  <c r="BK38" i="51"/>
  <c r="BL37" i="51"/>
  <c r="BK37" i="51"/>
  <c r="BL36" i="51"/>
  <c r="BK36" i="51"/>
  <c r="BL34" i="51"/>
  <c r="BK34" i="51"/>
  <c r="BL33" i="51"/>
  <c r="BK33" i="51"/>
  <c r="BL32" i="51"/>
  <c r="BK32" i="51"/>
  <c r="BL31" i="51"/>
  <c r="BK31" i="51"/>
  <c r="BL30" i="51"/>
  <c r="BK30" i="51"/>
  <c r="BL29" i="51"/>
  <c r="BK29" i="51"/>
  <c r="BL28" i="51"/>
  <c r="BK28" i="51"/>
  <c r="BL27" i="51"/>
  <c r="BK27" i="51"/>
  <c r="BL26" i="51"/>
  <c r="BK26" i="51"/>
  <c r="BL25" i="51"/>
  <c r="BK25" i="51"/>
  <c r="BL24" i="51"/>
  <c r="BK24" i="51"/>
  <c r="BL23" i="51"/>
  <c r="BK23" i="51"/>
  <c r="BL22" i="51"/>
  <c r="BK22" i="51"/>
  <c r="BL21" i="51"/>
  <c r="BK21" i="51"/>
  <c r="BL20" i="51"/>
  <c r="BK20" i="51"/>
  <c r="BL19" i="51"/>
  <c r="BK19" i="51"/>
  <c r="BL18" i="51"/>
  <c r="BK18" i="51"/>
  <c r="BL17" i="51"/>
  <c r="BK17" i="51"/>
  <c r="BL16" i="51"/>
  <c r="BK16" i="51"/>
  <c r="BL15" i="51"/>
  <c r="BK15" i="51"/>
  <c r="BL14" i="51"/>
  <c r="BK14" i="51"/>
  <c r="BL13" i="51"/>
  <c r="BK13" i="51"/>
  <c r="BL12" i="51"/>
  <c r="BK12" i="51"/>
  <c r="BL11" i="51"/>
  <c r="BK11" i="51"/>
  <c r="BL10" i="51"/>
  <c r="BK10" i="51"/>
  <c r="BL9" i="51"/>
  <c r="BK9" i="51"/>
  <c r="BL8" i="51"/>
  <c r="BK8" i="51"/>
  <c r="BL7" i="51"/>
  <c r="BK7" i="51"/>
  <c r="BL6" i="51"/>
  <c r="BK6" i="51"/>
  <c r="BL5" i="51"/>
  <c r="BK5" i="51"/>
  <c r="BL4" i="51"/>
  <c r="BK4" i="51"/>
  <c r="BL3" i="51"/>
  <c r="BK3" i="51"/>
  <c r="BJ66" i="51"/>
  <c r="BJ65" i="51"/>
  <c r="BJ64" i="51"/>
  <c r="BJ63" i="51"/>
  <c r="BJ60" i="51"/>
  <c r="BJ59" i="51"/>
  <c r="BJ58" i="51"/>
  <c r="BJ57" i="51"/>
  <c r="BJ56" i="51"/>
  <c r="BJ55" i="51"/>
  <c r="BJ54" i="51"/>
  <c r="BJ53" i="51"/>
  <c r="BJ52" i="51"/>
  <c r="BJ51" i="51"/>
  <c r="BJ49" i="51"/>
  <c r="BJ48" i="51"/>
  <c r="BJ47" i="51"/>
  <c r="BJ46" i="51"/>
  <c r="BJ45" i="51"/>
  <c r="BJ44" i="51"/>
  <c r="BJ43" i="51"/>
  <c r="BJ42" i="51"/>
  <c r="BJ41" i="51"/>
  <c r="BJ40" i="51"/>
  <c r="BJ39" i="51"/>
  <c r="BJ38" i="51"/>
  <c r="BJ62" i="51"/>
  <c r="BJ36" i="51"/>
  <c r="BJ34" i="51"/>
  <c r="BJ33" i="51"/>
  <c r="BJ32" i="51"/>
  <c r="BJ31" i="51"/>
  <c r="BJ30" i="51"/>
  <c r="BJ29" i="51"/>
  <c r="BJ28" i="51"/>
  <c r="BJ27" i="51"/>
  <c r="BJ26" i="51"/>
  <c r="BJ25" i="51"/>
  <c r="BJ24" i="51"/>
  <c r="BJ23" i="51"/>
  <c r="BJ22" i="51"/>
  <c r="BJ21" i="51"/>
  <c r="BJ20" i="51"/>
  <c r="BJ19" i="51"/>
  <c r="BJ18" i="51"/>
  <c r="BJ17" i="51"/>
  <c r="BJ16" i="51"/>
  <c r="BJ15" i="51"/>
  <c r="BJ14" i="51"/>
  <c r="BJ13" i="51"/>
  <c r="BJ12" i="51"/>
  <c r="BJ11" i="51"/>
  <c r="BJ10" i="51"/>
  <c r="BJ9" i="51"/>
  <c r="BJ8" i="51"/>
  <c r="BJ7" i="51"/>
  <c r="BJ6" i="51"/>
  <c r="BJ5" i="51"/>
  <c r="BJ4" i="51"/>
  <c r="BJ3" i="51"/>
  <c r="BI62" i="51"/>
  <c r="BI36" i="51"/>
  <c r="BI34" i="51"/>
  <c r="BI33" i="51"/>
  <c r="BI32" i="51"/>
  <c r="BI31" i="51"/>
  <c r="BI30" i="51"/>
  <c r="BI29" i="51"/>
  <c r="BI28" i="51"/>
  <c r="BI27" i="51"/>
  <c r="BI26" i="51"/>
  <c r="BI25" i="51"/>
  <c r="BI24" i="51"/>
  <c r="BI23" i="51"/>
  <c r="BI22" i="51"/>
  <c r="BI21" i="51"/>
  <c r="BI20" i="51"/>
  <c r="BI19" i="51"/>
  <c r="BI18" i="51"/>
  <c r="BI17" i="51"/>
  <c r="BI16" i="51"/>
  <c r="BI15" i="51"/>
  <c r="BI14" i="51"/>
  <c r="BI13" i="51"/>
  <c r="BI12" i="51"/>
  <c r="BI11" i="51"/>
  <c r="BI10" i="51"/>
  <c r="BI9" i="51"/>
  <c r="BI8" i="51"/>
  <c r="BI7" i="51"/>
  <c r="BI6" i="51"/>
  <c r="BI5" i="51"/>
  <c r="BI4" i="51"/>
  <c r="BI3" i="51"/>
  <c r="BG66" i="51"/>
  <c r="BG65" i="51"/>
  <c r="BG64" i="51"/>
  <c r="BG63" i="51"/>
  <c r="BG60" i="51"/>
  <c r="BG59" i="51"/>
  <c r="BG58" i="51"/>
  <c r="BG57" i="51"/>
  <c r="BG56" i="51"/>
  <c r="BG55" i="51"/>
  <c r="BG54" i="51"/>
  <c r="BG53" i="51"/>
  <c r="BG52" i="51"/>
  <c r="BG51" i="51"/>
  <c r="BG49" i="51"/>
  <c r="BG48" i="51"/>
  <c r="BG47" i="51"/>
  <c r="BG46" i="51"/>
  <c r="BG45" i="51"/>
  <c r="BG44" i="51"/>
  <c r="BG43" i="51"/>
  <c r="BG42" i="51"/>
  <c r="BG41" i="51"/>
  <c r="BG40" i="51"/>
  <c r="BG39" i="51"/>
  <c r="BG38" i="51"/>
  <c r="BG62" i="51"/>
  <c r="BG36" i="51"/>
  <c r="BG34" i="51"/>
  <c r="BG33" i="51"/>
  <c r="BG32" i="51"/>
  <c r="BG31" i="51"/>
  <c r="BG30" i="51"/>
  <c r="BG29" i="51"/>
  <c r="BG28" i="51"/>
  <c r="BG27" i="51"/>
  <c r="BG26" i="51"/>
  <c r="BG25" i="51"/>
  <c r="BG24" i="51"/>
  <c r="BG23" i="51"/>
  <c r="BG22" i="51"/>
  <c r="BG21" i="51"/>
  <c r="BG20" i="51"/>
  <c r="BG19" i="51"/>
  <c r="BG18" i="51"/>
  <c r="BG17" i="51"/>
  <c r="BG16" i="51"/>
  <c r="BG15" i="51"/>
  <c r="BG14" i="51"/>
  <c r="BG13" i="51"/>
  <c r="BG12" i="51"/>
  <c r="BG11" i="51"/>
  <c r="BG10" i="51"/>
  <c r="BG9" i="51"/>
  <c r="BG8" i="51"/>
  <c r="BG7" i="51"/>
  <c r="BG6" i="51"/>
  <c r="BG5" i="51"/>
  <c r="BG4" i="51"/>
  <c r="BG3" i="51"/>
  <c r="BF62" i="51"/>
  <c r="BF5" i="51"/>
  <c r="BF3" i="51"/>
  <c r="BE66" i="51"/>
  <c r="BE65" i="51"/>
  <c r="BE64" i="51"/>
  <c r="BE63" i="51"/>
  <c r="BE60" i="51"/>
  <c r="BE59" i="51"/>
  <c r="BE58" i="51"/>
  <c r="BE57" i="51"/>
  <c r="BE56" i="51"/>
  <c r="BE55" i="51"/>
  <c r="BE54" i="51"/>
  <c r="BE53" i="51"/>
  <c r="BE52" i="51"/>
  <c r="BE51" i="51"/>
  <c r="BE49" i="51"/>
  <c r="BE48" i="51"/>
  <c r="BE47" i="51"/>
  <c r="BE46" i="51"/>
  <c r="BE45" i="51"/>
  <c r="BE44" i="51"/>
  <c r="BE43" i="51"/>
  <c r="BE42" i="51"/>
  <c r="BE41" i="51"/>
  <c r="BE40" i="51"/>
  <c r="BE39" i="51"/>
  <c r="BE38" i="51"/>
  <c r="BE62" i="51"/>
  <c r="BE36" i="51"/>
  <c r="BE34" i="51"/>
  <c r="BE33" i="51"/>
  <c r="BE32" i="51"/>
  <c r="BE31" i="51"/>
  <c r="BE30" i="51"/>
  <c r="BE29" i="51"/>
  <c r="BE28" i="51"/>
  <c r="BE27" i="51"/>
  <c r="BE26" i="51"/>
  <c r="BE25" i="51"/>
  <c r="BE24" i="51"/>
  <c r="BE23" i="51"/>
  <c r="BE22" i="51"/>
  <c r="BE21" i="51"/>
  <c r="BE20" i="51"/>
  <c r="BE19" i="51"/>
  <c r="BE18" i="51"/>
  <c r="BE17" i="51"/>
  <c r="BE16" i="51"/>
  <c r="BE15" i="51"/>
  <c r="BE14" i="51"/>
  <c r="BE13" i="51"/>
  <c r="BE12" i="51"/>
  <c r="BE11" i="51"/>
  <c r="BE10" i="51"/>
  <c r="BE9" i="51"/>
  <c r="BE8" i="51"/>
  <c r="BE7" i="51"/>
  <c r="BE6" i="51"/>
  <c r="BE5" i="51"/>
  <c r="BE4" i="51"/>
  <c r="BE3" i="51"/>
  <c r="BD62" i="51"/>
  <c r="BD36" i="51"/>
  <c r="BD34" i="51"/>
  <c r="BD33" i="51"/>
  <c r="BD32" i="51"/>
  <c r="BD31" i="51"/>
  <c r="BD30" i="51"/>
  <c r="BD29" i="51"/>
  <c r="BD28" i="51"/>
  <c r="BD27" i="51"/>
  <c r="BD26" i="51"/>
  <c r="BD25" i="51"/>
  <c r="BD24" i="51"/>
  <c r="BD23" i="51"/>
  <c r="BD22" i="51"/>
  <c r="BD21" i="51"/>
  <c r="BD20" i="51"/>
  <c r="BD19" i="51"/>
  <c r="BD18" i="51"/>
  <c r="BD17" i="51"/>
  <c r="BD16" i="51"/>
  <c r="BD15" i="51"/>
  <c r="BD14" i="51"/>
  <c r="BD13" i="51"/>
  <c r="BD12" i="51"/>
  <c r="BD11" i="51"/>
  <c r="BD10" i="51"/>
  <c r="BD9" i="51"/>
  <c r="BD8" i="51"/>
  <c r="BD7" i="51"/>
  <c r="BD6" i="51"/>
  <c r="BD5" i="51"/>
  <c r="BD4" i="51"/>
  <c r="BD3" i="51"/>
  <c r="BC62" i="51"/>
  <c r="BC36" i="51"/>
  <c r="BC34" i="51"/>
  <c r="BF34" i="51" s="1"/>
  <c r="BC33" i="51"/>
  <c r="BF33" i="51" s="1"/>
  <c r="BC32" i="51"/>
  <c r="BF32" i="51" s="1"/>
  <c r="BC31" i="51"/>
  <c r="BC30" i="51"/>
  <c r="BF30" i="51" s="1"/>
  <c r="BC29" i="51"/>
  <c r="BF29" i="51" s="1"/>
  <c r="BC28" i="51"/>
  <c r="BF28" i="51" s="1"/>
  <c r="BC27" i="51"/>
  <c r="BC26" i="51"/>
  <c r="BF26" i="51" s="1"/>
  <c r="BC25" i="51"/>
  <c r="BF25" i="51" s="1"/>
  <c r="BC24" i="51"/>
  <c r="BF24" i="51" s="1"/>
  <c r="BC23" i="51"/>
  <c r="BC22" i="51"/>
  <c r="BF22" i="51" s="1"/>
  <c r="BC21" i="51"/>
  <c r="BF21" i="51" s="1"/>
  <c r="BC20" i="51"/>
  <c r="BF20" i="51" s="1"/>
  <c r="BC19" i="51"/>
  <c r="BC18" i="51"/>
  <c r="BF18" i="51" s="1"/>
  <c r="BC17" i="51"/>
  <c r="BF17" i="51" s="1"/>
  <c r="BC16" i="51"/>
  <c r="BF16" i="51" s="1"/>
  <c r="BC15" i="51"/>
  <c r="BC14" i="51"/>
  <c r="BF14" i="51" s="1"/>
  <c r="BC13" i="51"/>
  <c r="BF13" i="51" s="1"/>
  <c r="BC12" i="51"/>
  <c r="BF12" i="51" s="1"/>
  <c r="BC11" i="51"/>
  <c r="BC10" i="51"/>
  <c r="BF10" i="51" s="1"/>
  <c r="BC9" i="51"/>
  <c r="BF9" i="51" s="1"/>
  <c r="BC8" i="51"/>
  <c r="BF8" i="51" s="1"/>
  <c r="BC7" i="51"/>
  <c r="BC6" i="51"/>
  <c r="BF6" i="51" s="1"/>
  <c r="BC5" i="51"/>
  <c r="BC4" i="51"/>
  <c r="BF4" i="51" s="1"/>
  <c r="BC3" i="51"/>
  <c r="BB66" i="51"/>
  <c r="BB65" i="51"/>
  <c r="BB64" i="51"/>
  <c r="BB63" i="51"/>
  <c r="BB62" i="51"/>
  <c r="BA66" i="51"/>
  <c r="BA65" i="51"/>
  <c r="BA64" i="51"/>
  <c r="BA63" i="51"/>
  <c r="BA60" i="51"/>
  <c r="BA59" i="51"/>
  <c r="BA58" i="51"/>
  <c r="BA57" i="51"/>
  <c r="BA56" i="51"/>
  <c r="BA55" i="51"/>
  <c r="BA54" i="51"/>
  <c r="BA53" i="51"/>
  <c r="BA52" i="51"/>
  <c r="BA51" i="51"/>
  <c r="BA49" i="51"/>
  <c r="BA48" i="51"/>
  <c r="BA47" i="51"/>
  <c r="BA46" i="51"/>
  <c r="BA45" i="51"/>
  <c r="BA44" i="51"/>
  <c r="BA43" i="51"/>
  <c r="BA42" i="51"/>
  <c r="BA41" i="51"/>
  <c r="BA40" i="51"/>
  <c r="BA39" i="51"/>
  <c r="BA38" i="51"/>
  <c r="BA62" i="51"/>
  <c r="BA36" i="51"/>
  <c r="BA34" i="51"/>
  <c r="BA33" i="51"/>
  <c r="BA32" i="51"/>
  <c r="BA31" i="51"/>
  <c r="BA30" i="51"/>
  <c r="BA29" i="51"/>
  <c r="BA28" i="51"/>
  <c r="BA27" i="51"/>
  <c r="BA26" i="51"/>
  <c r="BA25" i="51"/>
  <c r="BA24" i="51"/>
  <c r="BA23" i="51"/>
  <c r="BA22" i="51"/>
  <c r="BA21" i="51"/>
  <c r="BA20" i="51"/>
  <c r="BA19" i="51"/>
  <c r="BA18" i="51"/>
  <c r="BA17" i="51"/>
  <c r="BA16" i="51"/>
  <c r="BA15" i="51"/>
  <c r="BA14" i="51"/>
  <c r="BA13" i="51"/>
  <c r="BA12" i="51"/>
  <c r="BA11" i="51"/>
  <c r="BA10" i="51"/>
  <c r="BA9" i="51"/>
  <c r="BA8" i="51"/>
  <c r="BA7" i="51"/>
  <c r="BA6" i="51"/>
  <c r="BA5" i="51"/>
  <c r="BA4" i="51"/>
  <c r="BA3" i="51"/>
  <c r="AZ62" i="51"/>
  <c r="AZ36" i="51"/>
  <c r="AZ34" i="51"/>
  <c r="AZ33" i="51"/>
  <c r="AZ32" i="51"/>
  <c r="AZ31" i="51"/>
  <c r="AZ30" i="51"/>
  <c r="AZ29" i="51"/>
  <c r="AZ28" i="51"/>
  <c r="AZ27" i="51"/>
  <c r="AZ26" i="51"/>
  <c r="AZ25" i="51"/>
  <c r="AZ24" i="51"/>
  <c r="AZ23" i="51"/>
  <c r="AZ22" i="51"/>
  <c r="AZ21" i="51"/>
  <c r="AZ20" i="51"/>
  <c r="AZ19" i="51"/>
  <c r="AZ18" i="51"/>
  <c r="AZ17" i="51"/>
  <c r="AZ16" i="51"/>
  <c r="AZ15" i="51"/>
  <c r="AZ14" i="51"/>
  <c r="AZ13" i="51"/>
  <c r="AZ12" i="51"/>
  <c r="AZ11" i="51"/>
  <c r="AZ10" i="51"/>
  <c r="AZ9" i="51"/>
  <c r="AZ8" i="51"/>
  <c r="AZ7" i="51"/>
  <c r="AZ6" i="51"/>
  <c r="AZ5" i="51"/>
  <c r="AZ4" i="51"/>
  <c r="AZ3" i="51"/>
  <c r="AY62" i="51"/>
  <c r="AY36" i="51"/>
  <c r="AY34" i="51"/>
  <c r="AY33" i="51"/>
  <c r="AY32" i="51"/>
  <c r="AY31" i="51"/>
  <c r="AY30" i="51"/>
  <c r="AY29" i="51"/>
  <c r="AY28" i="51"/>
  <c r="AY27" i="51"/>
  <c r="AY26" i="51"/>
  <c r="AY25" i="51"/>
  <c r="AY24" i="51"/>
  <c r="AY23" i="51"/>
  <c r="AY22" i="51"/>
  <c r="AY21" i="51"/>
  <c r="AY20" i="51"/>
  <c r="AY19" i="51"/>
  <c r="AY18" i="51"/>
  <c r="AY17" i="51"/>
  <c r="AY16" i="51"/>
  <c r="AY15" i="51"/>
  <c r="AY14" i="51"/>
  <c r="AY13" i="51"/>
  <c r="AY12" i="51"/>
  <c r="AY11" i="51"/>
  <c r="AY10" i="51"/>
  <c r="AY9" i="51"/>
  <c r="AY8" i="51"/>
  <c r="AY7" i="51"/>
  <c r="AY6" i="51"/>
  <c r="AY5" i="51"/>
  <c r="AY4" i="51"/>
  <c r="AY3" i="51"/>
  <c r="AV65" i="51"/>
  <c r="AV63" i="51"/>
  <c r="AV66" i="51"/>
  <c r="AV64" i="51"/>
  <c r="AV62" i="51"/>
  <c r="AU66" i="51"/>
  <c r="AU65" i="51"/>
  <c r="AU64" i="51"/>
  <c r="AU63" i="51"/>
  <c r="AU60" i="51"/>
  <c r="AU59" i="51"/>
  <c r="AU58" i="51"/>
  <c r="AU57" i="51"/>
  <c r="AU56" i="51"/>
  <c r="AU55" i="51"/>
  <c r="AU54" i="51"/>
  <c r="AU53" i="51"/>
  <c r="AU52" i="51"/>
  <c r="AU51" i="51"/>
  <c r="AU49" i="51"/>
  <c r="AU48" i="51"/>
  <c r="AU47" i="51"/>
  <c r="AU46" i="51"/>
  <c r="AU45" i="51"/>
  <c r="AU44" i="51"/>
  <c r="AU43" i="51"/>
  <c r="AU42" i="51"/>
  <c r="AU41" i="51"/>
  <c r="AU40" i="51"/>
  <c r="AU39" i="51"/>
  <c r="AU38" i="51"/>
  <c r="AU62" i="51"/>
  <c r="AU36" i="51"/>
  <c r="AU34" i="51"/>
  <c r="AU33" i="51"/>
  <c r="AU32" i="51"/>
  <c r="AU31" i="51"/>
  <c r="AU30" i="51"/>
  <c r="AU29" i="51"/>
  <c r="AU28" i="51"/>
  <c r="AU27" i="51"/>
  <c r="AU26" i="51"/>
  <c r="AU25" i="51"/>
  <c r="AU24" i="51"/>
  <c r="AU23" i="51"/>
  <c r="AU22" i="51"/>
  <c r="AU21" i="51"/>
  <c r="AU20" i="51"/>
  <c r="AU19" i="51"/>
  <c r="AU18" i="51"/>
  <c r="AU17" i="51"/>
  <c r="AU16" i="51"/>
  <c r="AU15" i="51"/>
  <c r="AU14" i="51"/>
  <c r="AU13" i="51"/>
  <c r="AU12" i="51"/>
  <c r="AU11" i="51"/>
  <c r="AU10" i="51"/>
  <c r="AU9" i="51"/>
  <c r="AU8" i="51"/>
  <c r="AU7" i="51"/>
  <c r="AU6" i="51"/>
  <c r="AU5" i="51"/>
  <c r="AU4" i="51"/>
  <c r="AU3" i="51"/>
  <c r="AT66" i="51"/>
  <c r="AT65" i="51"/>
  <c r="AT64" i="51"/>
  <c r="AT63" i="51"/>
  <c r="AT60" i="51"/>
  <c r="AT59" i="51"/>
  <c r="AT58" i="51"/>
  <c r="AT57" i="51"/>
  <c r="AT56" i="51"/>
  <c r="AT55" i="51"/>
  <c r="AT54" i="51"/>
  <c r="AT53" i="51"/>
  <c r="AT52" i="51"/>
  <c r="AT51" i="51"/>
  <c r="AT49" i="51"/>
  <c r="AT48" i="51"/>
  <c r="AT47" i="51"/>
  <c r="AT46" i="51"/>
  <c r="AT45" i="51"/>
  <c r="AT44" i="51"/>
  <c r="AT43" i="51"/>
  <c r="AT42" i="51"/>
  <c r="AT41" i="51"/>
  <c r="AT40" i="51"/>
  <c r="AT39" i="51"/>
  <c r="AT38" i="51"/>
  <c r="AT62" i="51"/>
  <c r="AT36" i="51"/>
  <c r="AT34" i="51"/>
  <c r="AT33" i="51"/>
  <c r="AT32" i="51"/>
  <c r="AT31" i="51"/>
  <c r="AT30" i="51"/>
  <c r="AT29" i="51"/>
  <c r="AT28" i="51"/>
  <c r="AT27" i="51"/>
  <c r="AT26" i="51"/>
  <c r="AT25" i="51"/>
  <c r="AT24" i="51"/>
  <c r="AT23" i="51"/>
  <c r="AT22" i="51"/>
  <c r="AT21" i="51"/>
  <c r="AT20" i="51"/>
  <c r="AT19" i="51"/>
  <c r="AT18" i="51"/>
  <c r="AT17" i="51"/>
  <c r="AT16" i="51"/>
  <c r="AT15" i="51"/>
  <c r="AT14" i="51"/>
  <c r="AT13" i="51"/>
  <c r="AT12" i="51"/>
  <c r="AT11" i="51"/>
  <c r="AT10" i="51"/>
  <c r="AT9" i="51"/>
  <c r="AT8" i="51"/>
  <c r="AT7" i="51"/>
  <c r="AT6" i="51"/>
  <c r="AT5" i="51"/>
  <c r="AT4" i="51"/>
  <c r="AT3" i="51"/>
  <c r="J59" i="19" l="1"/>
  <c r="J19" i="19"/>
  <c r="BF52" i="51"/>
  <c r="BF43" i="51"/>
  <c r="BF38" i="51"/>
  <c r="BF56" i="51"/>
  <c r="BF55" i="51"/>
  <c r="BF51" i="51"/>
  <c r="BF7" i="51"/>
  <c r="BF11" i="51"/>
  <c r="BF15" i="51"/>
  <c r="BF19" i="51"/>
  <c r="BF23" i="51"/>
  <c r="BF27" i="51"/>
  <c r="BF31" i="51"/>
  <c r="BF58" i="51"/>
  <c r="BF36" i="51"/>
  <c r="BF40" i="51"/>
  <c r="BF44" i="51"/>
  <c r="BF53" i="51"/>
  <c r="BF57" i="51"/>
  <c r="BM62" i="51"/>
  <c r="G62" i="6" s="1"/>
  <c r="BF41" i="51"/>
  <c r="BF45" i="51"/>
  <c r="BF49" i="51"/>
  <c r="L38" i="52"/>
  <c r="L42" i="52"/>
  <c r="L46" i="52"/>
  <c r="L51" i="52"/>
  <c r="L55" i="52"/>
  <c r="L59" i="52"/>
  <c r="L39" i="52"/>
  <c r="L43" i="52"/>
  <c r="L47" i="52"/>
  <c r="L52" i="52"/>
  <c r="L56" i="52"/>
  <c r="L60" i="52"/>
  <c r="L40" i="52"/>
  <c r="L44" i="52"/>
  <c r="L48" i="52"/>
  <c r="L53" i="52"/>
  <c r="L57" i="52"/>
  <c r="AG25" i="52"/>
  <c r="L41" i="52"/>
  <c r="L45" i="52"/>
  <c r="L49" i="52"/>
  <c r="L54" i="52"/>
  <c r="E59" i="53"/>
  <c r="E55" i="53"/>
  <c r="E51" i="53"/>
  <c r="E46" i="53"/>
  <c r="E42" i="53"/>
  <c r="E38" i="53"/>
  <c r="E41" i="53"/>
  <c r="E47" i="53"/>
  <c r="E53" i="53"/>
  <c r="E58" i="53"/>
  <c r="E54" i="53"/>
  <c r="E60" i="53"/>
  <c r="R22" i="53"/>
  <c r="S22" i="53" s="1"/>
  <c r="H22" i="1" s="1"/>
  <c r="E22" i="53"/>
  <c r="H22" i="53"/>
  <c r="I22" i="53" s="1"/>
  <c r="J22" i="53"/>
  <c r="K22" i="53" s="1"/>
  <c r="D22" i="1" s="1"/>
  <c r="L22" i="53"/>
  <c r="M22" i="53" s="1"/>
  <c r="E22" i="1" s="1"/>
  <c r="R3" i="52"/>
  <c r="S22" i="52"/>
  <c r="AG11" i="52"/>
  <c r="AK32" i="52"/>
  <c r="G32" i="2" s="1"/>
  <c r="R26" i="52"/>
  <c r="V13" i="52"/>
  <c r="AG14" i="52"/>
  <c r="AG23" i="52"/>
  <c r="AO5" i="52"/>
  <c r="H5" i="2" s="1"/>
  <c r="R6" i="52"/>
  <c r="AO9" i="52"/>
  <c r="H9" i="2" s="1"/>
  <c r="R10" i="52"/>
  <c r="AG31" i="52"/>
  <c r="V6" i="52"/>
  <c r="AG6" i="52"/>
  <c r="AD10" i="52"/>
  <c r="E10" i="2" s="1"/>
  <c r="AG10" i="52"/>
  <c r="Z14" i="52"/>
  <c r="D14" i="2" s="1"/>
  <c r="V21" i="52"/>
  <c r="AG26" i="52"/>
  <c r="AD3" i="52"/>
  <c r="E3" i="2" s="1"/>
  <c r="AK3" i="52"/>
  <c r="G3" i="2" s="1"/>
  <c r="AD7" i="52"/>
  <c r="E7" i="2" s="1"/>
  <c r="AK7" i="52"/>
  <c r="G7" i="2" s="1"/>
  <c r="AG15" i="52"/>
  <c r="AO15" i="52"/>
  <c r="H15" i="2" s="1"/>
  <c r="AG19" i="52"/>
  <c r="AG27" i="52"/>
  <c r="AG29" i="52"/>
  <c r="AG33" i="52"/>
  <c r="V3" i="52"/>
  <c r="AG3" i="52"/>
  <c r="Z4" i="52"/>
  <c r="D4" i="2" s="1"/>
  <c r="V7" i="52"/>
  <c r="Z8" i="52"/>
  <c r="D8" i="2" s="1"/>
  <c r="AG12" i="52"/>
  <c r="AO12" i="52"/>
  <c r="H12" i="2" s="1"/>
  <c r="AD16" i="52"/>
  <c r="E16" i="2" s="1"/>
  <c r="AG16" i="52"/>
  <c r="AG20" i="52"/>
  <c r="AK24" i="52"/>
  <c r="G24" i="2" s="1"/>
  <c r="AO36" i="52"/>
  <c r="H36" i="2" s="1"/>
  <c r="AK21" i="52"/>
  <c r="G21" i="2" s="1"/>
  <c r="AN22" i="52"/>
  <c r="AG24" i="52"/>
  <c r="Z31" i="52"/>
  <c r="D31" i="2" s="1"/>
  <c r="AG32" i="52"/>
  <c r="AO32" i="52"/>
  <c r="H32" i="2" s="1"/>
  <c r="V36" i="52"/>
  <c r="AK62" i="52"/>
  <c r="Z19" i="52"/>
  <c r="D19" i="2" s="1"/>
  <c r="V20" i="52"/>
  <c r="AB22" i="52"/>
  <c r="AK28" i="52"/>
  <c r="G28" i="2" s="1"/>
  <c r="R30" i="52"/>
  <c r="AG30" i="52"/>
  <c r="AO33" i="52"/>
  <c r="H33" i="2" s="1"/>
  <c r="AD34" i="52"/>
  <c r="E34" i="2" s="1"/>
  <c r="AG34" i="52"/>
  <c r="AO20" i="52"/>
  <c r="H20" i="2" s="1"/>
  <c r="Z23" i="52"/>
  <c r="D23" i="2" s="1"/>
  <c r="R18" i="52"/>
  <c r="AG18" i="52"/>
  <c r="Z27" i="52"/>
  <c r="D27" i="2" s="1"/>
  <c r="AG28" i="52"/>
  <c r="V33" i="52"/>
  <c r="AG36" i="52"/>
  <c r="AD4" i="52"/>
  <c r="E4" i="2" s="1"/>
  <c r="AK4" i="52"/>
  <c r="G4" i="2" s="1"/>
  <c r="Z5" i="52"/>
  <c r="D5" i="2" s="1"/>
  <c r="AO6" i="52"/>
  <c r="H6" i="2" s="1"/>
  <c r="R7" i="52"/>
  <c r="AG7" i="52"/>
  <c r="AD8" i="52"/>
  <c r="E8" i="2" s="1"/>
  <c r="AK8" i="52"/>
  <c r="G8" i="2" s="1"/>
  <c r="Z9" i="52"/>
  <c r="D9" i="2" s="1"/>
  <c r="AO10" i="52"/>
  <c r="H10" i="2" s="1"/>
  <c r="R11" i="52"/>
  <c r="AD11" i="52"/>
  <c r="E11" i="2" s="1"/>
  <c r="R13" i="52"/>
  <c r="AG13" i="52"/>
  <c r="AK13" i="52"/>
  <c r="G13" i="2" s="1"/>
  <c r="AO13" i="52"/>
  <c r="H13" i="2" s="1"/>
  <c r="AD14" i="52"/>
  <c r="E14" i="2" s="1"/>
  <c r="R16" i="52"/>
  <c r="Z17" i="52"/>
  <c r="D17" i="2" s="1"/>
  <c r="V18" i="52"/>
  <c r="AO18" i="52"/>
  <c r="H18" i="2" s="1"/>
  <c r="V19" i="52"/>
  <c r="AD19" i="52"/>
  <c r="E19" i="2" s="1"/>
  <c r="AK19" i="52"/>
  <c r="G19" i="2" s="1"/>
  <c r="Z20" i="52"/>
  <c r="D20" i="2" s="1"/>
  <c r="AG21" i="52"/>
  <c r="AO21" i="52"/>
  <c r="H21" i="2" s="1"/>
  <c r="M22" i="52"/>
  <c r="AF22" i="52"/>
  <c r="AD23" i="52"/>
  <c r="E23" i="2" s="1"/>
  <c r="V24" i="52"/>
  <c r="AO24" i="52"/>
  <c r="H24" i="2" s="1"/>
  <c r="AD25" i="52"/>
  <c r="E25" i="2" s="1"/>
  <c r="V26" i="52"/>
  <c r="AO26" i="52"/>
  <c r="H26" i="2" s="1"/>
  <c r="AD27" i="52"/>
  <c r="E27" i="2" s="1"/>
  <c r="V28" i="52"/>
  <c r="AO28" i="52"/>
  <c r="H28" i="2" s="1"/>
  <c r="AD29" i="52"/>
  <c r="E29" i="2" s="1"/>
  <c r="V30" i="52"/>
  <c r="AO30" i="52"/>
  <c r="H30" i="2" s="1"/>
  <c r="AD31" i="52"/>
  <c r="E31" i="2" s="1"/>
  <c r="V32" i="52"/>
  <c r="R34" i="52"/>
  <c r="Z36" i="52"/>
  <c r="D36" i="2" s="1"/>
  <c r="R62" i="52"/>
  <c r="AG62" i="52"/>
  <c r="AG65" i="52" s="1"/>
  <c r="AO3" i="52"/>
  <c r="H3" i="2" s="1"/>
  <c r="V4" i="52"/>
  <c r="AK5" i="52"/>
  <c r="G5" i="2" s="1"/>
  <c r="Z6" i="52"/>
  <c r="D6" i="2" s="1"/>
  <c r="AO7" i="52"/>
  <c r="H7" i="2" s="1"/>
  <c r="V8" i="52"/>
  <c r="AD9" i="52"/>
  <c r="E9" i="2" s="1"/>
  <c r="AK9" i="52"/>
  <c r="G9" i="2" s="1"/>
  <c r="Z10" i="52"/>
  <c r="D10" i="2" s="1"/>
  <c r="AK11" i="52"/>
  <c r="G11" i="2" s="1"/>
  <c r="Z12" i="52"/>
  <c r="D12" i="2" s="1"/>
  <c r="AD12" i="52"/>
  <c r="E12" i="2" s="1"/>
  <c r="R14" i="52"/>
  <c r="Z15" i="52"/>
  <c r="D15" i="2" s="1"/>
  <c r="V16" i="52"/>
  <c r="AO16" i="52"/>
  <c r="H16" i="2" s="1"/>
  <c r="V17" i="52"/>
  <c r="AD17" i="52"/>
  <c r="E17" i="2" s="1"/>
  <c r="Z18" i="52"/>
  <c r="D18" i="2" s="1"/>
  <c r="AO19" i="52"/>
  <c r="H19" i="2" s="1"/>
  <c r="AD20" i="52"/>
  <c r="E20" i="2" s="1"/>
  <c r="R23" i="52"/>
  <c r="Z24" i="52"/>
  <c r="D24" i="2" s="1"/>
  <c r="AK25" i="52"/>
  <c r="G25" i="2" s="1"/>
  <c r="R27" i="52"/>
  <c r="Z28" i="52"/>
  <c r="D28" i="2" s="1"/>
  <c r="AK29" i="52"/>
  <c r="G29" i="2" s="1"/>
  <c r="R31" i="52"/>
  <c r="Z32" i="52"/>
  <c r="D32" i="2" s="1"/>
  <c r="AD33" i="52"/>
  <c r="E33" i="2" s="1"/>
  <c r="V34" i="52"/>
  <c r="AO34" i="52"/>
  <c r="H34" i="2" s="1"/>
  <c r="AD36" i="52"/>
  <c r="E36" i="2" s="1"/>
  <c r="AO62" i="52"/>
  <c r="R4" i="52"/>
  <c r="AG4" i="52"/>
  <c r="AD5" i="52"/>
  <c r="E5" i="2" s="1"/>
  <c r="R8" i="52"/>
  <c r="AG8" i="52"/>
  <c r="V10" i="52"/>
  <c r="Z3" i="52"/>
  <c r="D3" i="2" s="1"/>
  <c r="AO4" i="52"/>
  <c r="H4" i="2" s="1"/>
  <c r="R5" i="52"/>
  <c r="V5" i="52"/>
  <c r="AG5" i="52"/>
  <c r="AD6" i="52"/>
  <c r="E6" i="2" s="1"/>
  <c r="AK6" i="52"/>
  <c r="G6" i="2" s="1"/>
  <c r="Z7" i="52"/>
  <c r="D7" i="2" s="1"/>
  <c r="AO8" i="52"/>
  <c r="H8" i="2" s="1"/>
  <c r="R9" i="52"/>
  <c r="V9" i="52"/>
  <c r="AG9" i="52"/>
  <c r="AK10" i="52"/>
  <c r="G10" i="2" s="1"/>
  <c r="V11" i="52"/>
  <c r="Z11" i="52"/>
  <c r="D11" i="2" s="1"/>
  <c r="AO11" i="52"/>
  <c r="H11" i="2" s="1"/>
  <c r="V12" i="52"/>
  <c r="AK12" i="52"/>
  <c r="G12" i="2" s="1"/>
  <c r="Z13" i="52"/>
  <c r="D13" i="2" s="1"/>
  <c r="AD13" i="52"/>
  <c r="E13" i="2" s="1"/>
  <c r="V14" i="52"/>
  <c r="AO14" i="52"/>
  <c r="H14" i="2" s="1"/>
  <c r="V15" i="52"/>
  <c r="AD15" i="52"/>
  <c r="E15" i="2" s="1"/>
  <c r="AK15" i="52"/>
  <c r="G15" i="2" s="1"/>
  <c r="Z16" i="52"/>
  <c r="D16" i="2" s="1"/>
  <c r="AG17" i="52"/>
  <c r="AO17" i="52"/>
  <c r="H17" i="2" s="1"/>
  <c r="AD18" i="52"/>
  <c r="E18" i="2" s="1"/>
  <c r="R20" i="52"/>
  <c r="Z21" i="52"/>
  <c r="D21" i="2" s="1"/>
  <c r="X22" i="52"/>
  <c r="V23" i="52"/>
  <c r="AO23" i="52"/>
  <c r="H23" i="2" s="1"/>
  <c r="AD24" i="52"/>
  <c r="E24" i="2" s="1"/>
  <c r="V25" i="52"/>
  <c r="AO25" i="52"/>
  <c r="H25" i="2" s="1"/>
  <c r="AD26" i="52"/>
  <c r="E26" i="2" s="1"/>
  <c r="V27" i="52"/>
  <c r="AO27" i="52"/>
  <c r="H27" i="2" s="1"/>
  <c r="AD28" i="52"/>
  <c r="E28" i="2" s="1"/>
  <c r="V29" i="52"/>
  <c r="AO29" i="52"/>
  <c r="H29" i="2" s="1"/>
  <c r="AD30" i="52"/>
  <c r="E30" i="2" s="1"/>
  <c r="V31" i="52"/>
  <c r="AO31" i="52"/>
  <c r="H31" i="2" s="1"/>
  <c r="AD32" i="52"/>
  <c r="E32" i="2" s="1"/>
  <c r="AK33" i="52"/>
  <c r="G33" i="2" s="1"/>
  <c r="Z62" i="52"/>
  <c r="R12" i="52"/>
  <c r="R15" i="52"/>
  <c r="R17" i="52"/>
  <c r="R19" i="52"/>
  <c r="R21" i="52"/>
  <c r="R24" i="52"/>
  <c r="Z25" i="52"/>
  <c r="D25" i="2" s="1"/>
  <c r="AK26" i="52"/>
  <c r="G26" i="2" s="1"/>
  <c r="R28" i="52"/>
  <c r="Z29" i="52"/>
  <c r="D29" i="2" s="1"/>
  <c r="AK30" i="52"/>
  <c r="G30" i="2" s="1"/>
  <c r="R32" i="52"/>
  <c r="Z33" i="52"/>
  <c r="D33" i="2" s="1"/>
  <c r="AK34" i="52"/>
  <c r="G34" i="2" s="1"/>
  <c r="AA22" i="52"/>
  <c r="AE22" i="52"/>
  <c r="U22" i="52"/>
  <c r="Q22" i="52"/>
  <c r="AK14" i="52"/>
  <c r="G14" i="2" s="1"/>
  <c r="AK16" i="52"/>
  <c r="G16" i="2" s="1"/>
  <c r="AK18" i="52"/>
  <c r="G18" i="2" s="1"/>
  <c r="AK20" i="52"/>
  <c r="G20" i="2" s="1"/>
  <c r="AD21" i="52"/>
  <c r="E21" i="2" s="1"/>
  <c r="AK23" i="52"/>
  <c r="G23" i="2" s="1"/>
  <c r="R25" i="52"/>
  <c r="Z26" i="52"/>
  <c r="D26" i="2" s="1"/>
  <c r="AK27" i="52"/>
  <c r="G27" i="2" s="1"/>
  <c r="R29" i="52"/>
  <c r="Z30" i="52"/>
  <c r="D30" i="2" s="1"/>
  <c r="AK31" i="52"/>
  <c r="G31" i="2" s="1"/>
  <c r="R33" i="52"/>
  <c r="Z34" i="52"/>
  <c r="D34" i="2" s="1"/>
  <c r="AK36" i="52"/>
  <c r="G36" i="2" s="1"/>
  <c r="AK17" i="52"/>
  <c r="G17" i="2" s="1"/>
  <c r="L22" i="52"/>
  <c r="AC22" i="52"/>
  <c r="AH22" i="52"/>
  <c r="AK22" i="52" s="1"/>
  <c r="G22" i="2" s="1"/>
  <c r="R36" i="52"/>
  <c r="V62" i="52"/>
  <c r="N22" i="52"/>
  <c r="AD62" i="52"/>
  <c r="AS62" i="51"/>
  <c r="AS36" i="51"/>
  <c r="AS34" i="51"/>
  <c r="AS33" i="51"/>
  <c r="AS32" i="51"/>
  <c r="AS31" i="51"/>
  <c r="AS30" i="51"/>
  <c r="AS29" i="51"/>
  <c r="AS28" i="51"/>
  <c r="AS27" i="51"/>
  <c r="AS26" i="51"/>
  <c r="AS25" i="51"/>
  <c r="AS24" i="51"/>
  <c r="AS23" i="51"/>
  <c r="AS22" i="51"/>
  <c r="AS21" i="51"/>
  <c r="AS20" i="51"/>
  <c r="AS19" i="51"/>
  <c r="AS18" i="51"/>
  <c r="AS17" i="51"/>
  <c r="AS16" i="51"/>
  <c r="AS15" i="51"/>
  <c r="AS14" i="51"/>
  <c r="AS13" i="51"/>
  <c r="AS12" i="51"/>
  <c r="AS11" i="51"/>
  <c r="AS10" i="51"/>
  <c r="AS9" i="51"/>
  <c r="AS8" i="51"/>
  <c r="AS7" i="51"/>
  <c r="AS6" i="51"/>
  <c r="AS5" i="51"/>
  <c r="AS4" i="51"/>
  <c r="AS3" i="51"/>
  <c r="AO66" i="51"/>
  <c r="AO65" i="51"/>
  <c r="AO64" i="51"/>
  <c r="AO63" i="51"/>
  <c r="AO60" i="51"/>
  <c r="AO59" i="51"/>
  <c r="AO58" i="51"/>
  <c r="AO57" i="51"/>
  <c r="AO56" i="51"/>
  <c r="AO55" i="51"/>
  <c r="AO54" i="51"/>
  <c r="AO53" i="51"/>
  <c r="AO52" i="51"/>
  <c r="AO51" i="51"/>
  <c r="AO49" i="51"/>
  <c r="AO48" i="51"/>
  <c r="AO47" i="51"/>
  <c r="AO46" i="51"/>
  <c r="AO45" i="51"/>
  <c r="AO44" i="51"/>
  <c r="AO43" i="51"/>
  <c r="AO42" i="51"/>
  <c r="AO41" i="51"/>
  <c r="AO40" i="51"/>
  <c r="AO39" i="51"/>
  <c r="AO38" i="51"/>
  <c r="AO62" i="51"/>
  <c r="AO36" i="51"/>
  <c r="AO34" i="51"/>
  <c r="AO33" i="51"/>
  <c r="AO32" i="51"/>
  <c r="AO31" i="51"/>
  <c r="AO30" i="51"/>
  <c r="AO29" i="51"/>
  <c r="AO28" i="51"/>
  <c r="AO27" i="51"/>
  <c r="AO26" i="51"/>
  <c r="AO25" i="51"/>
  <c r="AO24" i="51"/>
  <c r="AO23" i="51"/>
  <c r="AO22" i="51"/>
  <c r="AO21" i="51"/>
  <c r="AO20" i="51"/>
  <c r="AO19" i="51"/>
  <c r="AO18" i="51"/>
  <c r="AO17" i="51"/>
  <c r="AO16" i="51"/>
  <c r="AO15" i="51"/>
  <c r="AO14" i="51"/>
  <c r="AO13" i="51"/>
  <c r="AO12" i="51"/>
  <c r="AO11" i="51"/>
  <c r="AO10" i="51"/>
  <c r="AO9" i="51"/>
  <c r="AO8" i="51"/>
  <c r="AO7" i="51"/>
  <c r="AO6" i="51"/>
  <c r="AO5" i="51"/>
  <c r="AO4" i="51"/>
  <c r="AO3" i="51"/>
  <c r="AN66" i="51"/>
  <c r="AN65" i="51"/>
  <c r="AN64" i="51"/>
  <c r="AN63" i="51"/>
  <c r="AN60" i="51"/>
  <c r="AN59" i="51"/>
  <c r="AN58" i="51"/>
  <c r="AN57" i="51"/>
  <c r="AN56" i="51"/>
  <c r="AN55" i="51"/>
  <c r="AN54" i="51"/>
  <c r="AN53" i="51"/>
  <c r="AN52" i="51"/>
  <c r="AN51" i="51"/>
  <c r="AN49" i="51"/>
  <c r="AN48" i="51"/>
  <c r="AN47" i="51"/>
  <c r="AN46" i="51"/>
  <c r="AN45" i="51"/>
  <c r="AN44" i="51"/>
  <c r="AN43" i="51"/>
  <c r="AN42" i="51"/>
  <c r="AN41" i="51"/>
  <c r="AN40" i="51"/>
  <c r="AN39" i="51"/>
  <c r="AN38" i="51"/>
  <c r="AN62" i="51"/>
  <c r="AP62" i="51" s="1"/>
  <c r="AN36" i="51"/>
  <c r="AN34" i="51"/>
  <c r="AN33" i="51"/>
  <c r="AN32" i="51"/>
  <c r="AN31" i="51"/>
  <c r="AP31" i="51" s="1"/>
  <c r="AN30" i="51"/>
  <c r="AN29" i="51"/>
  <c r="AN28" i="51"/>
  <c r="AN27" i="51"/>
  <c r="AP27" i="51" s="1"/>
  <c r="AN26" i="51"/>
  <c r="AN25" i="51"/>
  <c r="AN24" i="51"/>
  <c r="AN23" i="51"/>
  <c r="AP23" i="51" s="1"/>
  <c r="AN22" i="51"/>
  <c r="AN21" i="51"/>
  <c r="AN20" i="51"/>
  <c r="AN19" i="51"/>
  <c r="AP19" i="51" s="1"/>
  <c r="AN18" i="51"/>
  <c r="AN17" i="51"/>
  <c r="AN16" i="51"/>
  <c r="AN15" i="51"/>
  <c r="AP15" i="51" s="1"/>
  <c r="AN14" i="51"/>
  <c r="AN13" i="51"/>
  <c r="AN12" i="51"/>
  <c r="AN11" i="51"/>
  <c r="AP11" i="51" s="1"/>
  <c r="AN10" i="51"/>
  <c r="AN9" i="51"/>
  <c r="AN8" i="51"/>
  <c r="AN7" i="51"/>
  <c r="AP7" i="51" s="1"/>
  <c r="AN6" i="51"/>
  <c r="AN5" i="51"/>
  <c r="AN4" i="51"/>
  <c r="AN3" i="51"/>
  <c r="AP3" i="51" s="1"/>
  <c r="AM62" i="51"/>
  <c r="AM36" i="51"/>
  <c r="AM34" i="51"/>
  <c r="AM33" i="51"/>
  <c r="AM32" i="51"/>
  <c r="AM31" i="51"/>
  <c r="AM30" i="51"/>
  <c r="AM29" i="51"/>
  <c r="AM28" i="51"/>
  <c r="AM27" i="51"/>
  <c r="AM26" i="51"/>
  <c r="AM25" i="51"/>
  <c r="AM24" i="51"/>
  <c r="AM23" i="51"/>
  <c r="AM22" i="51"/>
  <c r="AM21" i="51"/>
  <c r="AM20" i="51"/>
  <c r="AM19" i="51"/>
  <c r="AM18" i="51"/>
  <c r="AM17" i="51"/>
  <c r="AM16" i="51"/>
  <c r="AM15" i="51"/>
  <c r="AM14" i="51"/>
  <c r="AM13" i="51"/>
  <c r="AM12" i="51"/>
  <c r="AM11" i="51"/>
  <c r="AM10" i="51"/>
  <c r="AM9" i="51"/>
  <c r="AM8" i="51"/>
  <c r="AM7" i="51"/>
  <c r="AM6" i="51"/>
  <c r="AM5" i="51"/>
  <c r="AM4" i="51"/>
  <c r="AM3" i="51"/>
  <c r="AL66" i="51"/>
  <c r="AL65" i="51"/>
  <c r="AL64" i="51"/>
  <c r="AL63" i="51"/>
  <c r="AL60" i="51"/>
  <c r="AL59" i="51"/>
  <c r="AL58" i="51"/>
  <c r="AL57" i="51"/>
  <c r="AL56" i="51"/>
  <c r="AL55" i="51"/>
  <c r="AL54" i="51"/>
  <c r="AL53" i="51"/>
  <c r="AL52" i="51"/>
  <c r="AL51" i="51"/>
  <c r="AL49" i="51"/>
  <c r="AL48" i="51"/>
  <c r="AL47" i="51"/>
  <c r="AL46" i="51"/>
  <c r="AL45" i="51"/>
  <c r="AL44" i="51"/>
  <c r="AL43" i="51"/>
  <c r="AL42" i="51"/>
  <c r="AL41" i="51"/>
  <c r="AL40" i="51"/>
  <c r="AL39" i="51"/>
  <c r="AL38" i="51"/>
  <c r="AL62" i="51"/>
  <c r="AL36" i="51"/>
  <c r="AL34" i="51"/>
  <c r="AL33" i="51"/>
  <c r="AL32" i="51"/>
  <c r="AL31" i="51"/>
  <c r="AL30" i="51"/>
  <c r="AL29" i="51"/>
  <c r="AL28" i="51"/>
  <c r="AL27" i="51"/>
  <c r="AL26" i="51"/>
  <c r="AL25" i="51"/>
  <c r="AL24" i="51"/>
  <c r="AL23" i="51"/>
  <c r="AL22" i="51"/>
  <c r="AL21" i="51"/>
  <c r="AL20" i="51"/>
  <c r="AL19" i="51"/>
  <c r="AL18" i="51"/>
  <c r="AL17" i="51"/>
  <c r="AL16" i="51"/>
  <c r="AL15" i="51"/>
  <c r="AL14" i="51"/>
  <c r="AL13" i="51"/>
  <c r="AL12" i="51"/>
  <c r="AL11" i="51"/>
  <c r="AL10" i="51"/>
  <c r="AL9" i="51"/>
  <c r="AL8" i="51"/>
  <c r="AL7" i="51"/>
  <c r="AL6" i="51"/>
  <c r="AL5" i="51"/>
  <c r="AL4" i="51"/>
  <c r="AL3" i="51"/>
  <c r="AK62" i="51"/>
  <c r="AJ62" i="51"/>
  <c r="AK36" i="51"/>
  <c r="AJ36" i="51"/>
  <c r="AK34" i="51"/>
  <c r="AJ34" i="51"/>
  <c r="AK33" i="51"/>
  <c r="AJ33" i="51"/>
  <c r="AP33" i="51" s="1"/>
  <c r="AK32" i="51"/>
  <c r="AJ32" i="51"/>
  <c r="AP32" i="51" s="1"/>
  <c r="AK31" i="51"/>
  <c r="AJ31" i="51"/>
  <c r="AK30" i="51"/>
  <c r="AJ30" i="51"/>
  <c r="AP30" i="51" s="1"/>
  <c r="AK29" i="51"/>
  <c r="AJ29" i="51"/>
  <c r="AP29" i="51" s="1"/>
  <c r="AK28" i="51"/>
  <c r="AJ28" i="51"/>
  <c r="AP28" i="51" s="1"/>
  <c r="AK27" i="51"/>
  <c r="AJ27" i="51"/>
  <c r="AK26" i="51"/>
  <c r="AJ26" i="51"/>
  <c r="AK25" i="51"/>
  <c r="AJ25" i="51"/>
  <c r="AP25" i="51" s="1"/>
  <c r="AK24" i="51"/>
  <c r="AJ24" i="51"/>
  <c r="AP24" i="51" s="1"/>
  <c r="AK23" i="51"/>
  <c r="AJ23" i="51"/>
  <c r="AK22" i="51"/>
  <c r="AJ22" i="51"/>
  <c r="AK21" i="51"/>
  <c r="AJ21" i="51"/>
  <c r="AP21" i="51" s="1"/>
  <c r="AK20" i="51"/>
  <c r="AJ20" i="51"/>
  <c r="AK19" i="51"/>
  <c r="AJ19" i="51"/>
  <c r="AK18" i="51"/>
  <c r="AJ18" i="51"/>
  <c r="AK17" i="51"/>
  <c r="AJ17" i="51"/>
  <c r="AP17" i="51" s="1"/>
  <c r="AK16" i="51"/>
  <c r="AJ16" i="51"/>
  <c r="AK15" i="51"/>
  <c r="AJ15" i="51"/>
  <c r="AK14" i="51"/>
  <c r="AJ14" i="51"/>
  <c r="AK13" i="51"/>
  <c r="AJ13" i="51"/>
  <c r="AP13" i="51" s="1"/>
  <c r="AK12" i="51"/>
  <c r="AJ12" i="51"/>
  <c r="AK11" i="51"/>
  <c r="AJ11" i="51"/>
  <c r="AK10" i="51"/>
  <c r="AJ10" i="51"/>
  <c r="AK9" i="51"/>
  <c r="AJ9" i="51"/>
  <c r="AP9" i="51" s="1"/>
  <c r="AK8" i="51"/>
  <c r="AJ8" i="51"/>
  <c r="AK7" i="51"/>
  <c r="AJ7" i="51"/>
  <c r="AK6" i="51"/>
  <c r="AJ6" i="51"/>
  <c r="AK5" i="51"/>
  <c r="AJ5" i="51"/>
  <c r="AP5" i="51" s="1"/>
  <c r="AK4" i="51"/>
  <c r="AJ4" i="51"/>
  <c r="AK3" i="51"/>
  <c r="AH66" i="51"/>
  <c r="AH65" i="51"/>
  <c r="AH64" i="51"/>
  <c r="AH63" i="51"/>
  <c r="AH62" i="51"/>
  <c r="AH60" i="51"/>
  <c r="AH59" i="51"/>
  <c r="AH58" i="51"/>
  <c r="AH57" i="51"/>
  <c r="AH56" i="51"/>
  <c r="AH55" i="51"/>
  <c r="AH54" i="51"/>
  <c r="AH53" i="51"/>
  <c r="AH52" i="51"/>
  <c r="AH51" i="51"/>
  <c r="AH49" i="51"/>
  <c r="AH48" i="51"/>
  <c r="AH47" i="51"/>
  <c r="AH46" i="51"/>
  <c r="AH45" i="51"/>
  <c r="AH44" i="51"/>
  <c r="AH43" i="51"/>
  <c r="AH42" i="51"/>
  <c r="AH41" i="51"/>
  <c r="AH40" i="51"/>
  <c r="AH39" i="51"/>
  <c r="AH38" i="51"/>
  <c r="AH36" i="51"/>
  <c r="AH34" i="51"/>
  <c r="AH33" i="51"/>
  <c r="AH32" i="51"/>
  <c r="AH31" i="51"/>
  <c r="AH30" i="51"/>
  <c r="AH29" i="51"/>
  <c r="AH28" i="51"/>
  <c r="AH27" i="51"/>
  <c r="AH26" i="51"/>
  <c r="AH25" i="51"/>
  <c r="AH24" i="51"/>
  <c r="AH23" i="51"/>
  <c r="AH22" i="51"/>
  <c r="AH21" i="51"/>
  <c r="AH20" i="51"/>
  <c r="AH19" i="51"/>
  <c r="AH18" i="51"/>
  <c r="AH17" i="51"/>
  <c r="AH16" i="51"/>
  <c r="AH15" i="51"/>
  <c r="AH14" i="51"/>
  <c r="AH13" i="51"/>
  <c r="AH12" i="51"/>
  <c r="AH11" i="51"/>
  <c r="AH10" i="51"/>
  <c r="AH9" i="51"/>
  <c r="AH8" i="51"/>
  <c r="AH7" i="51"/>
  <c r="AH6" i="51"/>
  <c r="AH5" i="51"/>
  <c r="AH4" i="51"/>
  <c r="AH3" i="51"/>
  <c r="AG66" i="51"/>
  <c r="AG65" i="51"/>
  <c r="AG64" i="51"/>
  <c r="AG63" i="51"/>
  <c r="AG62" i="51"/>
  <c r="AG60" i="51"/>
  <c r="AG59" i="51"/>
  <c r="AG58" i="51"/>
  <c r="AG57" i="51"/>
  <c r="AG56" i="51"/>
  <c r="AG55" i="51"/>
  <c r="AG54" i="51"/>
  <c r="AG53" i="51"/>
  <c r="AG52" i="51"/>
  <c r="AG51" i="51"/>
  <c r="AG49" i="51"/>
  <c r="AG48" i="51"/>
  <c r="AG47" i="51"/>
  <c r="AG46" i="51"/>
  <c r="AG45" i="51"/>
  <c r="AG44" i="51"/>
  <c r="AG43" i="51"/>
  <c r="AG42" i="51"/>
  <c r="AG41" i="51"/>
  <c r="AG40" i="51"/>
  <c r="AG39" i="51"/>
  <c r="AG38" i="51"/>
  <c r="AG36" i="51"/>
  <c r="AG34" i="51"/>
  <c r="AG33" i="51"/>
  <c r="AG32" i="51"/>
  <c r="AG31" i="51"/>
  <c r="AG30" i="51"/>
  <c r="AG29" i="51"/>
  <c r="AG28" i="51"/>
  <c r="AG27" i="51"/>
  <c r="AG26" i="51"/>
  <c r="AG25" i="51"/>
  <c r="AG24" i="51"/>
  <c r="AG23" i="51"/>
  <c r="AG22" i="51"/>
  <c r="AG21" i="51"/>
  <c r="AG20" i="51"/>
  <c r="AG19" i="51"/>
  <c r="AG18" i="51"/>
  <c r="AG17" i="51"/>
  <c r="AG16" i="51"/>
  <c r="AG15" i="51"/>
  <c r="AG14" i="51"/>
  <c r="AG13" i="51"/>
  <c r="AG12" i="51"/>
  <c r="AG11" i="51"/>
  <c r="AG10" i="51"/>
  <c r="AG9" i="51"/>
  <c r="AG8" i="51"/>
  <c r="AG7" i="51"/>
  <c r="AG6" i="51"/>
  <c r="AG5" i="51"/>
  <c r="AG4" i="51"/>
  <c r="AG3" i="51"/>
  <c r="AF62" i="51"/>
  <c r="AF66" i="51"/>
  <c r="AF65" i="51"/>
  <c r="AF64" i="51"/>
  <c r="AF63" i="51"/>
  <c r="AF60" i="51"/>
  <c r="AF59" i="51"/>
  <c r="AF58" i="51"/>
  <c r="AF57" i="51"/>
  <c r="AF56" i="51"/>
  <c r="AF55" i="51"/>
  <c r="AF54" i="51"/>
  <c r="AF53" i="51"/>
  <c r="AF52" i="51"/>
  <c r="AF51" i="51"/>
  <c r="AF49" i="51"/>
  <c r="AF48" i="51"/>
  <c r="AF47" i="51"/>
  <c r="AF46" i="51"/>
  <c r="AF45" i="51"/>
  <c r="AF44" i="51"/>
  <c r="AF43" i="51"/>
  <c r="AF42" i="51"/>
  <c r="AF41" i="51"/>
  <c r="AF40" i="51"/>
  <c r="AF39" i="51"/>
  <c r="AF38" i="51"/>
  <c r="AF36" i="51"/>
  <c r="AF34" i="51"/>
  <c r="AF33" i="51"/>
  <c r="AF32" i="51"/>
  <c r="AF31" i="51"/>
  <c r="AF30" i="51"/>
  <c r="AF29" i="51"/>
  <c r="AF28" i="51"/>
  <c r="AF27" i="51"/>
  <c r="AF26" i="51"/>
  <c r="AF25" i="51"/>
  <c r="AF24" i="51"/>
  <c r="AF23" i="51"/>
  <c r="AF22" i="51"/>
  <c r="AF21" i="51"/>
  <c r="AF20" i="51"/>
  <c r="AF19" i="51"/>
  <c r="AF18" i="51"/>
  <c r="AF17" i="51"/>
  <c r="AF16" i="51"/>
  <c r="AF15" i="51"/>
  <c r="AF14" i="51"/>
  <c r="AF13" i="51"/>
  <c r="AF12" i="51"/>
  <c r="AF11" i="51"/>
  <c r="AF10" i="51"/>
  <c r="AF9" i="51"/>
  <c r="AF8" i="51"/>
  <c r="AF7" i="51"/>
  <c r="AF6" i="51"/>
  <c r="AF5" i="51"/>
  <c r="AF4" i="51"/>
  <c r="AF3" i="51"/>
  <c r="AI3" i="51" s="1"/>
  <c r="AE62" i="51"/>
  <c r="AE36" i="51"/>
  <c r="AE34" i="51"/>
  <c r="AE33" i="51"/>
  <c r="AE32" i="51"/>
  <c r="AE31" i="51"/>
  <c r="AE30" i="51"/>
  <c r="AE29" i="51"/>
  <c r="AE28" i="51"/>
  <c r="AE27" i="51"/>
  <c r="AE26" i="51"/>
  <c r="AE25" i="51"/>
  <c r="AE24" i="51"/>
  <c r="AE23" i="51"/>
  <c r="AE22" i="51"/>
  <c r="AE21" i="51"/>
  <c r="AE20" i="51"/>
  <c r="AE19" i="51"/>
  <c r="AE18" i="51"/>
  <c r="AE17" i="51"/>
  <c r="AE16" i="51"/>
  <c r="AE15" i="51"/>
  <c r="AE14" i="51"/>
  <c r="AE13" i="51"/>
  <c r="AE12" i="51"/>
  <c r="AE11" i="51"/>
  <c r="AE10" i="51"/>
  <c r="AE9" i="51"/>
  <c r="AE8" i="51"/>
  <c r="AE7" i="51"/>
  <c r="AE6" i="51"/>
  <c r="AE5" i="51"/>
  <c r="AE4" i="51"/>
  <c r="AE3" i="51"/>
  <c r="AD66" i="51"/>
  <c r="AD65" i="51"/>
  <c r="AD64" i="51"/>
  <c r="AD63" i="51"/>
  <c r="AD60" i="51"/>
  <c r="AD59" i="51"/>
  <c r="AD58" i="51"/>
  <c r="AD57" i="51"/>
  <c r="AD56" i="51"/>
  <c r="AD55" i="51"/>
  <c r="AD54" i="51"/>
  <c r="AD53" i="51"/>
  <c r="AD52" i="51"/>
  <c r="AD51" i="51"/>
  <c r="AD49" i="51"/>
  <c r="AD48" i="51"/>
  <c r="AD47" i="51"/>
  <c r="AD46" i="51"/>
  <c r="AD45" i="51"/>
  <c r="AD44" i="51"/>
  <c r="AD43" i="51"/>
  <c r="AD42" i="51"/>
  <c r="AD41" i="51"/>
  <c r="AD40" i="51"/>
  <c r="AD39" i="51"/>
  <c r="AD38" i="51"/>
  <c r="AD62" i="51"/>
  <c r="AD36" i="51"/>
  <c r="AD34" i="51"/>
  <c r="AD33" i="51"/>
  <c r="AD32" i="51"/>
  <c r="AD31" i="51"/>
  <c r="AD30" i="51"/>
  <c r="AD29" i="51"/>
  <c r="AD28" i="51"/>
  <c r="AD27" i="51"/>
  <c r="AD26" i="51"/>
  <c r="AD25" i="51"/>
  <c r="AD24" i="51"/>
  <c r="AD23" i="51"/>
  <c r="AD22" i="51"/>
  <c r="AD21" i="51"/>
  <c r="AD20" i="51"/>
  <c r="AD19" i="51"/>
  <c r="AD18" i="51"/>
  <c r="AD17" i="51"/>
  <c r="AD16" i="51"/>
  <c r="AD15" i="51"/>
  <c r="AD14" i="51"/>
  <c r="AD13" i="51"/>
  <c r="AD12" i="51"/>
  <c r="AD11" i="51"/>
  <c r="AD10" i="51"/>
  <c r="AD9" i="51"/>
  <c r="AD8" i="51"/>
  <c r="AD7" i="51"/>
  <c r="AD6" i="51"/>
  <c r="AD5" i="51"/>
  <c r="AD4" i="51"/>
  <c r="AD3" i="51"/>
  <c r="AC66" i="51"/>
  <c r="AB66" i="51"/>
  <c r="AA66" i="51"/>
  <c r="Z66" i="51"/>
  <c r="AC65" i="51"/>
  <c r="AB65" i="51"/>
  <c r="AA65" i="51"/>
  <c r="Z65" i="51"/>
  <c r="AC64" i="51"/>
  <c r="AB64" i="51"/>
  <c r="AA64" i="51"/>
  <c r="Z64" i="51"/>
  <c r="AC63" i="51"/>
  <c r="AB63" i="51"/>
  <c r="AA63" i="51"/>
  <c r="Z63" i="51"/>
  <c r="AC62" i="51"/>
  <c r="AB62" i="51"/>
  <c r="AA62" i="51"/>
  <c r="Z62" i="51"/>
  <c r="AC60" i="51"/>
  <c r="AB60" i="51"/>
  <c r="AA60" i="51"/>
  <c r="Z60" i="51"/>
  <c r="AC59" i="51"/>
  <c r="AB59" i="51"/>
  <c r="AA59" i="51"/>
  <c r="Z59" i="51"/>
  <c r="AC58" i="51"/>
  <c r="AB58" i="51"/>
  <c r="AA58" i="51"/>
  <c r="Z58" i="51"/>
  <c r="AC57" i="51"/>
  <c r="AB57" i="51"/>
  <c r="AA57" i="51"/>
  <c r="Z57" i="51"/>
  <c r="AC56" i="51"/>
  <c r="AB56" i="51"/>
  <c r="AA56" i="51"/>
  <c r="Z56" i="51"/>
  <c r="AC55" i="51"/>
  <c r="AB55" i="51"/>
  <c r="AA55" i="51"/>
  <c r="Z55" i="51"/>
  <c r="AC54" i="51"/>
  <c r="AB54" i="51"/>
  <c r="AA54" i="51"/>
  <c r="Z54" i="51"/>
  <c r="AC53" i="51"/>
  <c r="AB53" i="51"/>
  <c r="AA53" i="51"/>
  <c r="Z53" i="51"/>
  <c r="AC52" i="51"/>
  <c r="AB52" i="51"/>
  <c r="AA52" i="51"/>
  <c r="Z52" i="51"/>
  <c r="AC51" i="51"/>
  <c r="AB51" i="51"/>
  <c r="AA51" i="51"/>
  <c r="Z51" i="51"/>
  <c r="AC49" i="51"/>
  <c r="AB49" i="51"/>
  <c r="AA49" i="51"/>
  <c r="Z49" i="51"/>
  <c r="AC48" i="51"/>
  <c r="AB48" i="51"/>
  <c r="AA48" i="51"/>
  <c r="Z48" i="51"/>
  <c r="AC47" i="51"/>
  <c r="AB47" i="51"/>
  <c r="AA47" i="51"/>
  <c r="Z47" i="51"/>
  <c r="AC46" i="51"/>
  <c r="AB46" i="51"/>
  <c r="AA46" i="51"/>
  <c r="Z46" i="51"/>
  <c r="AC45" i="51"/>
  <c r="AB45" i="51"/>
  <c r="AA45" i="51"/>
  <c r="Z45" i="51"/>
  <c r="AC44" i="51"/>
  <c r="AB44" i="51"/>
  <c r="AA44" i="51"/>
  <c r="Z44" i="51"/>
  <c r="AC43" i="51"/>
  <c r="AB43" i="51"/>
  <c r="AA43" i="51"/>
  <c r="Z43" i="51"/>
  <c r="AC42" i="51"/>
  <c r="AB42" i="51"/>
  <c r="AA42" i="51"/>
  <c r="Z42" i="51"/>
  <c r="AC41" i="51"/>
  <c r="AB41" i="51"/>
  <c r="AA41" i="51"/>
  <c r="Z41" i="51"/>
  <c r="AC40" i="51"/>
  <c r="AB40" i="51"/>
  <c r="AA40" i="51"/>
  <c r="Z40" i="51"/>
  <c r="AC39" i="51"/>
  <c r="AB39" i="51"/>
  <c r="AA39" i="51"/>
  <c r="Z39" i="51"/>
  <c r="AC38" i="51"/>
  <c r="AB38" i="51"/>
  <c r="AA38" i="51"/>
  <c r="Z38" i="51"/>
  <c r="AC36" i="51"/>
  <c r="AB36" i="51"/>
  <c r="AA36" i="51"/>
  <c r="Z36" i="51"/>
  <c r="AC34" i="51"/>
  <c r="AB34" i="51"/>
  <c r="AA34" i="51"/>
  <c r="Z34" i="51"/>
  <c r="AC33" i="51"/>
  <c r="AB33" i="51"/>
  <c r="AA33" i="51"/>
  <c r="Z33" i="51"/>
  <c r="AC32" i="51"/>
  <c r="AB32" i="51"/>
  <c r="AA32" i="51"/>
  <c r="Z32" i="51"/>
  <c r="AC31" i="51"/>
  <c r="AB31" i="51"/>
  <c r="AA31" i="51"/>
  <c r="Z31" i="51"/>
  <c r="AC30" i="51"/>
  <c r="AB30" i="51"/>
  <c r="AA30" i="51"/>
  <c r="Z30" i="51"/>
  <c r="AC29" i="51"/>
  <c r="AB29" i="51"/>
  <c r="AA29" i="51"/>
  <c r="Z29" i="51"/>
  <c r="AC28" i="51"/>
  <c r="AB28" i="51"/>
  <c r="AA28" i="51"/>
  <c r="Z28" i="51"/>
  <c r="AC27" i="51"/>
  <c r="AB27" i="51"/>
  <c r="AA27" i="51"/>
  <c r="Z27" i="51"/>
  <c r="AC26" i="51"/>
  <c r="AB26" i="51"/>
  <c r="AA26" i="51"/>
  <c r="Z26" i="51"/>
  <c r="AC25" i="51"/>
  <c r="AB25" i="51"/>
  <c r="AA25" i="51"/>
  <c r="Z25" i="51"/>
  <c r="AC24" i="51"/>
  <c r="AB24" i="51"/>
  <c r="AA24" i="51"/>
  <c r="Z24" i="51"/>
  <c r="AC23" i="51"/>
  <c r="AB23" i="51"/>
  <c r="AA23" i="51"/>
  <c r="Z23" i="51"/>
  <c r="AC22" i="51"/>
  <c r="AB22" i="51"/>
  <c r="AA22" i="51"/>
  <c r="Z22" i="51"/>
  <c r="AC21" i="51"/>
  <c r="AB21" i="51"/>
  <c r="AA21" i="51"/>
  <c r="Z21" i="51"/>
  <c r="AC20" i="51"/>
  <c r="AB20" i="51"/>
  <c r="AA20" i="51"/>
  <c r="Z20" i="51"/>
  <c r="AC19" i="51"/>
  <c r="AB19" i="51"/>
  <c r="AA19" i="51"/>
  <c r="Z19" i="51"/>
  <c r="AC18" i="51"/>
  <c r="AB18" i="51"/>
  <c r="AA18" i="51"/>
  <c r="Z18" i="51"/>
  <c r="AC17" i="51"/>
  <c r="AB17" i="51"/>
  <c r="AA17" i="51"/>
  <c r="Z17" i="51"/>
  <c r="AC16" i="51"/>
  <c r="AB16" i="51"/>
  <c r="AA16" i="51"/>
  <c r="Z16" i="51"/>
  <c r="AC15" i="51"/>
  <c r="AB15" i="51"/>
  <c r="AA15" i="51"/>
  <c r="Z15" i="51"/>
  <c r="AC14" i="51"/>
  <c r="AB14" i="51"/>
  <c r="AA14" i="51"/>
  <c r="Z14" i="51"/>
  <c r="AC13" i="51"/>
  <c r="AB13" i="51"/>
  <c r="AA13" i="51"/>
  <c r="Z13" i="51"/>
  <c r="AC12" i="51"/>
  <c r="AB12" i="51"/>
  <c r="AA12" i="51"/>
  <c r="Z12" i="51"/>
  <c r="AC11" i="51"/>
  <c r="AB11" i="51"/>
  <c r="AA11" i="51"/>
  <c r="Z11" i="51"/>
  <c r="AC10" i="51"/>
  <c r="AB10" i="51"/>
  <c r="AA10" i="51"/>
  <c r="Z10" i="51"/>
  <c r="AC9" i="51"/>
  <c r="AB9" i="51"/>
  <c r="AA9" i="51"/>
  <c r="Z9" i="51"/>
  <c r="AC8" i="51"/>
  <c r="AB8" i="51"/>
  <c r="AA8" i="51"/>
  <c r="Z8" i="51"/>
  <c r="AC7" i="51"/>
  <c r="AB7" i="51"/>
  <c r="AA7" i="51"/>
  <c r="Z7" i="51"/>
  <c r="AC6" i="51"/>
  <c r="AB6" i="51"/>
  <c r="AA6" i="51"/>
  <c r="Z6" i="51"/>
  <c r="AC5" i="51"/>
  <c r="AB5" i="51"/>
  <c r="AA5" i="51"/>
  <c r="Z5" i="51"/>
  <c r="AC4" i="51"/>
  <c r="AB4" i="51"/>
  <c r="AA4" i="51"/>
  <c r="Z4" i="51"/>
  <c r="AC3" i="51"/>
  <c r="AB3" i="51"/>
  <c r="AA3" i="51"/>
  <c r="Z3" i="51"/>
  <c r="Y62" i="51"/>
  <c r="Y36" i="51"/>
  <c r="Y34" i="51"/>
  <c r="Y33" i="51"/>
  <c r="Y32" i="51"/>
  <c r="AI32" i="51" s="1"/>
  <c r="Y31" i="51"/>
  <c r="Y30" i="51"/>
  <c r="Y29" i="51"/>
  <c r="Y28" i="51"/>
  <c r="Y27" i="51"/>
  <c r="Y26" i="51"/>
  <c r="Y25" i="51"/>
  <c r="Y24" i="51"/>
  <c r="Y23" i="51"/>
  <c r="Y22" i="51"/>
  <c r="Y21" i="51"/>
  <c r="Y20" i="51"/>
  <c r="Y19" i="51"/>
  <c r="Y18" i="51"/>
  <c r="Y17" i="51"/>
  <c r="Y16" i="51"/>
  <c r="Y15" i="51"/>
  <c r="Y14" i="51"/>
  <c r="Y13" i="51"/>
  <c r="Y12" i="51"/>
  <c r="Y11" i="51"/>
  <c r="Y10" i="51"/>
  <c r="Y9" i="51"/>
  <c r="Y8" i="51"/>
  <c r="Y7" i="51"/>
  <c r="Y6" i="51"/>
  <c r="Y5" i="51"/>
  <c r="Y4" i="51"/>
  <c r="Y3" i="51"/>
  <c r="X62" i="51"/>
  <c r="X36" i="51"/>
  <c r="X34" i="51"/>
  <c r="X33" i="51"/>
  <c r="X32" i="51"/>
  <c r="X31" i="51"/>
  <c r="X30" i="51"/>
  <c r="X29" i="51"/>
  <c r="X28" i="51"/>
  <c r="X27" i="51"/>
  <c r="X26" i="51"/>
  <c r="X25" i="51"/>
  <c r="X24" i="51"/>
  <c r="X23" i="51"/>
  <c r="X22" i="51"/>
  <c r="X21" i="51"/>
  <c r="X20" i="51"/>
  <c r="X19" i="51"/>
  <c r="X18" i="51"/>
  <c r="X17" i="51"/>
  <c r="X16" i="51"/>
  <c r="X15" i="51"/>
  <c r="X14" i="51"/>
  <c r="X13" i="51"/>
  <c r="X12" i="51"/>
  <c r="X11" i="51"/>
  <c r="X10" i="51"/>
  <c r="X9" i="51"/>
  <c r="X8" i="51"/>
  <c r="X7" i="51"/>
  <c r="X6" i="51"/>
  <c r="X5" i="51"/>
  <c r="X4" i="51"/>
  <c r="X3" i="51"/>
  <c r="W62" i="51"/>
  <c r="W64" i="51" s="1"/>
  <c r="W48" i="51"/>
  <c r="W40" i="51"/>
  <c r="W36" i="51"/>
  <c r="W58" i="51" s="1"/>
  <c r="W34" i="51"/>
  <c r="W33" i="51"/>
  <c r="W32" i="51"/>
  <c r="W31" i="51"/>
  <c r="W30" i="51"/>
  <c r="W29" i="51"/>
  <c r="W28" i="51"/>
  <c r="W27" i="51"/>
  <c r="W26" i="51"/>
  <c r="W25" i="51"/>
  <c r="W24" i="51"/>
  <c r="W23" i="51"/>
  <c r="W21" i="51"/>
  <c r="W20" i="51"/>
  <c r="W19" i="51"/>
  <c r="W18" i="51"/>
  <c r="W17" i="51"/>
  <c r="W16" i="51"/>
  <c r="W15" i="51"/>
  <c r="W14" i="51"/>
  <c r="W13" i="51"/>
  <c r="W12" i="51"/>
  <c r="W11" i="51"/>
  <c r="W10" i="51"/>
  <c r="W9" i="51"/>
  <c r="W8" i="51"/>
  <c r="W7" i="51"/>
  <c r="W6" i="51"/>
  <c r="W5" i="51"/>
  <c r="W4" i="51"/>
  <c r="J60" i="19" l="1"/>
  <c r="J20" i="19"/>
  <c r="AP34" i="51"/>
  <c r="W43" i="51"/>
  <c r="W56" i="51"/>
  <c r="BM64" i="51"/>
  <c r="G64" i="6" s="1"/>
  <c r="BM65" i="51"/>
  <c r="G65" i="6" s="1"/>
  <c r="W65" i="51"/>
  <c r="W63" i="51"/>
  <c r="AP22" i="51"/>
  <c r="AP4" i="51"/>
  <c r="AP6" i="51"/>
  <c r="AP8" i="51"/>
  <c r="AP10" i="51"/>
  <c r="AP12" i="51"/>
  <c r="AP14" i="51"/>
  <c r="AP16" i="51"/>
  <c r="AP18" i="51"/>
  <c r="AP20" i="51"/>
  <c r="AP26" i="51"/>
  <c r="AP36" i="51"/>
  <c r="W51" i="51"/>
  <c r="W38" i="51"/>
  <c r="W52" i="51"/>
  <c r="BF39" i="51"/>
  <c r="BF46" i="51"/>
  <c r="BF60" i="51"/>
  <c r="W57" i="51"/>
  <c r="W44" i="51"/>
  <c r="W39" i="51"/>
  <c r="W46" i="51"/>
  <c r="W55" i="51"/>
  <c r="BF54" i="51"/>
  <c r="BF48" i="51"/>
  <c r="BM66" i="51"/>
  <c r="G66" i="6" s="1"/>
  <c r="BF42" i="51"/>
  <c r="BF47" i="51"/>
  <c r="BF59" i="51"/>
  <c r="BM63" i="51"/>
  <c r="G63" i="6" s="1"/>
  <c r="AO55" i="52"/>
  <c r="H55" i="2" s="1"/>
  <c r="AO38" i="52"/>
  <c r="H38" i="2" s="1"/>
  <c r="AK40" i="52"/>
  <c r="G40" i="2" s="1"/>
  <c r="AG43" i="52"/>
  <c r="AD45" i="52"/>
  <c r="E45" i="2" s="1"/>
  <c r="Z47" i="52"/>
  <c r="D47" i="2" s="1"/>
  <c r="V49" i="52"/>
  <c r="R52" i="52"/>
  <c r="AO45" i="52"/>
  <c r="H45" i="2" s="1"/>
  <c r="AK52" i="52"/>
  <c r="G52" i="2" s="1"/>
  <c r="AG59" i="52"/>
  <c r="AG42" i="52"/>
  <c r="AD48" i="52"/>
  <c r="E48" i="2" s="1"/>
  <c r="Z55" i="52"/>
  <c r="D55" i="2" s="1"/>
  <c r="Z38" i="52"/>
  <c r="D38" i="2" s="1"/>
  <c r="V44" i="52"/>
  <c r="R51" i="52"/>
  <c r="AO44" i="52"/>
  <c r="H44" i="2" s="1"/>
  <c r="AK51" i="52"/>
  <c r="G51" i="2" s="1"/>
  <c r="AG58" i="52"/>
  <c r="AG41" i="52"/>
  <c r="AD47" i="52"/>
  <c r="E47" i="2" s="1"/>
  <c r="Z54" i="52"/>
  <c r="D54" i="2" s="1"/>
  <c r="V60" i="52"/>
  <c r="V43" i="52"/>
  <c r="R49" i="52"/>
  <c r="AO47" i="52"/>
  <c r="H47" i="2" s="1"/>
  <c r="AK54" i="52"/>
  <c r="G54" i="2" s="1"/>
  <c r="AG57" i="52"/>
  <c r="AG40" i="52"/>
  <c r="AD46" i="52"/>
  <c r="E46" i="2" s="1"/>
  <c r="Z53" i="52"/>
  <c r="D53" i="2" s="1"/>
  <c r="V59" i="52"/>
  <c r="V42" i="52"/>
  <c r="R48" i="52"/>
  <c r="AO59" i="52"/>
  <c r="H59" i="2" s="1"/>
  <c r="AO51" i="52"/>
  <c r="H51" i="2" s="1"/>
  <c r="AK53" i="52"/>
  <c r="G53" i="2" s="1"/>
  <c r="AG56" i="52"/>
  <c r="AG39" i="52"/>
  <c r="AD41" i="52"/>
  <c r="E41" i="2" s="1"/>
  <c r="Z43" i="52"/>
  <c r="D43" i="2" s="1"/>
  <c r="V45" i="52"/>
  <c r="R47" i="52"/>
  <c r="AO58" i="52"/>
  <c r="H58" i="2" s="1"/>
  <c r="AO41" i="52"/>
  <c r="H41" i="2" s="1"/>
  <c r="AK47" i="52"/>
  <c r="G47" i="2" s="1"/>
  <c r="AG55" i="52"/>
  <c r="AG38" i="52"/>
  <c r="AD44" i="52"/>
  <c r="E44" i="2" s="1"/>
  <c r="Z51" i="52"/>
  <c r="D51" i="2" s="1"/>
  <c r="V57" i="52"/>
  <c r="V40" i="52"/>
  <c r="R46" i="52"/>
  <c r="AO57" i="52"/>
  <c r="H57" i="2" s="1"/>
  <c r="AO40" i="52"/>
  <c r="H40" i="2" s="1"/>
  <c r="AK46" i="52"/>
  <c r="G46" i="2" s="1"/>
  <c r="AG54" i="52"/>
  <c r="AD60" i="52"/>
  <c r="E60" i="2" s="1"/>
  <c r="AD43" i="52"/>
  <c r="E43" i="2" s="1"/>
  <c r="Z49" i="52"/>
  <c r="D49" i="2" s="1"/>
  <c r="V56" i="52"/>
  <c r="V39" i="52"/>
  <c r="R45" i="52"/>
  <c r="AO60" i="52"/>
  <c r="H60" i="2" s="1"/>
  <c r="AO43" i="52"/>
  <c r="H43" i="2" s="1"/>
  <c r="AK49" i="52"/>
  <c r="G49" i="2" s="1"/>
  <c r="AG53" i="52"/>
  <c r="AD59" i="52"/>
  <c r="E59" i="2" s="1"/>
  <c r="AD42" i="52"/>
  <c r="E42" i="2" s="1"/>
  <c r="Z48" i="52"/>
  <c r="D48" i="2" s="1"/>
  <c r="V55" i="52"/>
  <c r="V38" i="52"/>
  <c r="R44" i="52"/>
  <c r="AK58" i="52"/>
  <c r="G58" i="2" s="1"/>
  <c r="AD58" i="52"/>
  <c r="E58" i="2" s="1"/>
  <c r="AO46" i="52"/>
  <c r="H46" i="2" s="1"/>
  <c r="AK48" i="52"/>
  <c r="G48" i="2" s="1"/>
  <c r="AG52" i="52"/>
  <c r="AD54" i="52"/>
  <c r="E54" i="2" s="1"/>
  <c r="Z56" i="52"/>
  <c r="D56" i="2" s="1"/>
  <c r="Z39" i="52"/>
  <c r="D39" i="2" s="1"/>
  <c r="V41" i="52"/>
  <c r="R43" i="52"/>
  <c r="AO54" i="52"/>
  <c r="H54" i="2" s="1"/>
  <c r="AK56" i="52"/>
  <c r="G56" i="2" s="1"/>
  <c r="AK43" i="52"/>
  <c r="G43" i="2" s="1"/>
  <c r="AG51" i="52"/>
  <c r="AD57" i="52"/>
  <c r="E57" i="2" s="1"/>
  <c r="AD40" i="52"/>
  <c r="E40" i="2" s="1"/>
  <c r="Z46" i="52"/>
  <c r="D46" i="2" s="1"/>
  <c r="V53" i="52"/>
  <c r="R59" i="52"/>
  <c r="R42" i="52"/>
  <c r="AO53" i="52"/>
  <c r="H53" i="2" s="1"/>
  <c r="AK60" i="52"/>
  <c r="G60" i="2" s="1"/>
  <c r="AK42" i="52"/>
  <c r="G42" i="2" s="1"/>
  <c r="AG49" i="52"/>
  <c r="AD56" i="52"/>
  <c r="E56" i="2" s="1"/>
  <c r="AD39" i="52"/>
  <c r="E39" i="2" s="1"/>
  <c r="Z45" i="52"/>
  <c r="D45" i="2" s="1"/>
  <c r="V52" i="52"/>
  <c r="R58" i="52"/>
  <c r="R41" i="52"/>
  <c r="AO56" i="52"/>
  <c r="H56" i="2" s="1"/>
  <c r="AO39" i="52"/>
  <c r="H39" i="2" s="1"/>
  <c r="AK45" i="52"/>
  <c r="G45" i="2" s="1"/>
  <c r="AG48" i="52"/>
  <c r="AD55" i="52"/>
  <c r="E55" i="2" s="1"/>
  <c r="AD38" i="52"/>
  <c r="E38" i="2" s="1"/>
  <c r="Z44" i="52"/>
  <c r="D44" i="2" s="1"/>
  <c r="V51" i="52"/>
  <c r="R57" i="52"/>
  <c r="R40" i="52"/>
  <c r="Z60" i="52"/>
  <c r="D60" i="2" s="1"/>
  <c r="AG60" i="52"/>
  <c r="AO42" i="52"/>
  <c r="H42" i="2" s="1"/>
  <c r="AK44" i="52"/>
  <c r="G44" i="2" s="1"/>
  <c r="AG47" i="52"/>
  <c r="AD49" i="52"/>
  <c r="E49" i="2" s="1"/>
  <c r="Z52" i="52"/>
  <c r="D52" i="2" s="1"/>
  <c r="V54" i="52"/>
  <c r="R56" i="52"/>
  <c r="R39" i="52"/>
  <c r="AO49" i="52"/>
  <c r="H49" i="2" s="1"/>
  <c r="AK57" i="52"/>
  <c r="G57" i="2" s="1"/>
  <c r="AK39" i="52"/>
  <c r="G39" i="2" s="1"/>
  <c r="AG46" i="52"/>
  <c r="AD53" i="52"/>
  <c r="E53" i="2" s="1"/>
  <c r="Z59" i="52"/>
  <c r="D59" i="2" s="1"/>
  <c r="Z42" i="52"/>
  <c r="D42" i="2" s="1"/>
  <c r="V48" i="52"/>
  <c r="R55" i="52"/>
  <c r="R38" i="52"/>
  <c r="AO48" i="52"/>
  <c r="H48" i="2" s="1"/>
  <c r="AK55" i="52"/>
  <c r="G55" i="2" s="1"/>
  <c r="AK38" i="52"/>
  <c r="G38" i="2" s="1"/>
  <c r="AG45" i="52"/>
  <c r="AD52" i="52"/>
  <c r="E52" i="2" s="1"/>
  <c r="Z58" i="52"/>
  <c r="D58" i="2" s="1"/>
  <c r="Z41" i="52"/>
  <c r="D41" i="2" s="1"/>
  <c r="V47" i="52"/>
  <c r="R54" i="52"/>
  <c r="AO52" i="52"/>
  <c r="H52" i="2" s="1"/>
  <c r="AK59" i="52"/>
  <c r="G59" i="2" s="1"/>
  <c r="AK41" i="52"/>
  <c r="G41" i="2" s="1"/>
  <c r="AG44" i="52"/>
  <c r="AD51" i="52"/>
  <c r="E51" i="2" s="1"/>
  <c r="Z57" i="52"/>
  <c r="D57" i="2" s="1"/>
  <c r="Z40" i="52"/>
  <c r="D40" i="2" s="1"/>
  <c r="V46" i="52"/>
  <c r="R53" i="52"/>
  <c r="R60" i="52"/>
  <c r="V58" i="52"/>
  <c r="V22" i="52"/>
  <c r="AO22" i="52"/>
  <c r="H22" i="2" s="1"/>
  <c r="Z22" i="52"/>
  <c r="D22" i="2" s="1"/>
  <c r="AG22" i="52"/>
  <c r="R22" i="52"/>
  <c r="AG66" i="52"/>
  <c r="AG64" i="52"/>
  <c r="AD22" i="52"/>
  <c r="E22" i="2" s="1"/>
  <c r="W42" i="51"/>
  <c r="W47" i="51"/>
  <c r="W53" i="51"/>
  <c r="W59" i="51"/>
  <c r="W66" i="51"/>
  <c r="W60" i="51"/>
  <c r="W41" i="51"/>
  <c r="W45" i="51"/>
  <c r="W49" i="51"/>
  <c r="W54" i="51"/>
  <c r="U22" i="51"/>
  <c r="T22" i="51"/>
  <c r="S22" i="51"/>
  <c r="R22" i="51"/>
  <c r="O22" i="51"/>
  <c r="N22" i="51"/>
  <c r="M22" i="51"/>
  <c r="BH22" i="51" s="1"/>
  <c r="BM22" i="51" s="1"/>
  <c r="G22" i="6" s="1"/>
  <c r="L22" i="51"/>
  <c r="K22" i="51"/>
  <c r="J22" i="51"/>
  <c r="I22" i="51"/>
  <c r="H22" i="51"/>
  <c r="G22" i="51"/>
  <c r="F22" i="51"/>
  <c r="E22" i="51"/>
  <c r="D22" i="51"/>
  <c r="C22" i="51"/>
  <c r="B22" i="51"/>
  <c r="AQ22" i="51" s="1"/>
  <c r="BQ66" i="51"/>
  <c r="BP66" i="51"/>
  <c r="BO66" i="51"/>
  <c r="BN66" i="51"/>
  <c r="BI66" i="51"/>
  <c r="BH66" i="51"/>
  <c r="BD66" i="51"/>
  <c r="BC66" i="51"/>
  <c r="AZ66" i="51"/>
  <c r="AY66" i="51"/>
  <c r="AX66" i="51"/>
  <c r="AW66" i="51"/>
  <c r="AS66" i="51"/>
  <c r="AR66" i="51"/>
  <c r="AQ66" i="51"/>
  <c r="AM66" i="51"/>
  <c r="AK66" i="51"/>
  <c r="AJ66" i="51"/>
  <c r="AE66" i="51"/>
  <c r="Y66" i="51"/>
  <c r="X66" i="51"/>
  <c r="BQ65" i="51"/>
  <c r="BP65" i="51"/>
  <c r="BO65" i="51"/>
  <c r="BN65" i="51"/>
  <c r="BI65" i="51"/>
  <c r="BH65" i="51"/>
  <c r="BD65" i="51"/>
  <c r="BC65" i="51"/>
  <c r="AZ65" i="51"/>
  <c r="AY65" i="51"/>
  <c r="AX65" i="51"/>
  <c r="AW65" i="51"/>
  <c r="AS65" i="51"/>
  <c r="AR65" i="51"/>
  <c r="AQ65" i="51"/>
  <c r="AM65" i="51"/>
  <c r="AK65" i="51"/>
  <c r="AJ65" i="51"/>
  <c r="AE65" i="51"/>
  <c r="Y65" i="51"/>
  <c r="X65" i="51"/>
  <c r="BQ64" i="51"/>
  <c r="BP64" i="51"/>
  <c r="BO64" i="51"/>
  <c r="BN64" i="51"/>
  <c r="BI64" i="51"/>
  <c r="BH64" i="51"/>
  <c r="BD64" i="51"/>
  <c r="BC64" i="51"/>
  <c r="AZ64" i="51"/>
  <c r="AY64" i="51"/>
  <c r="AX64" i="51"/>
  <c r="AW64" i="51"/>
  <c r="AS64" i="51"/>
  <c r="AR64" i="51"/>
  <c r="AQ64" i="51"/>
  <c r="AM64" i="51"/>
  <c r="AK64" i="51"/>
  <c r="AJ64" i="51"/>
  <c r="AE64" i="51"/>
  <c r="Y64" i="51"/>
  <c r="X64" i="51"/>
  <c r="BQ63" i="51"/>
  <c r="BP63" i="51"/>
  <c r="BO63" i="51"/>
  <c r="BN63" i="51"/>
  <c r="BI63" i="51"/>
  <c r="BH63" i="51"/>
  <c r="BD63" i="51"/>
  <c r="BC63" i="51"/>
  <c r="AZ63" i="51"/>
  <c r="AY63" i="51"/>
  <c r="AX63" i="51"/>
  <c r="AW63" i="51"/>
  <c r="AS63" i="51"/>
  <c r="AR63" i="51"/>
  <c r="AQ63" i="51"/>
  <c r="AM63" i="51"/>
  <c r="AK63" i="51"/>
  <c r="AJ63" i="51"/>
  <c r="AE63" i="51"/>
  <c r="Y63" i="51"/>
  <c r="X63" i="51"/>
  <c r="BO62" i="51"/>
  <c r="BH62" i="51"/>
  <c r="AX62" i="51"/>
  <c r="AW62" i="51"/>
  <c r="AR62" i="51"/>
  <c r="AQ62" i="51"/>
  <c r="BQ60" i="51"/>
  <c r="BP60" i="51"/>
  <c r="BO60" i="51"/>
  <c r="BN60" i="51"/>
  <c r="BI60" i="51"/>
  <c r="BH60" i="51"/>
  <c r="BD60" i="51"/>
  <c r="BC60" i="51"/>
  <c r="AZ60" i="51"/>
  <c r="AY60" i="51"/>
  <c r="AX60" i="51"/>
  <c r="AW60" i="51"/>
  <c r="AS60" i="51"/>
  <c r="AR60" i="51"/>
  <c r="AQ60" i="51"/>
  <c r="AM60" i="51"/>
  <c r="AK60" i="51"/>
  <c r="AJ60" i="51"/>
  <c r="AE60" i="51"/>
  <c r="Y60" i="51"/>
  <c r="X60" i="51"/>
  <c r="BQ59" i="51"/>
  <c r="BP59" i="51"/>
  <c r="BO59" i="51"/>
  <c r="BN59" i="51"/>
  <c r="BI59" i="51"/>
  <c r="BH59" i="51"/>
  <c r="BD59" i="51"/>
  <c r="BC59" i="51"/>
  <c r="AZ59" i="51"/>
  <c r="AY59" i="51"/>
  <c r="AX59" i="51"/>
  <c r="AW59" i="51"/>
  <c r="AS59" i="51"/>
  <c r="AR59" i="51"/>
  <c r="AQ59" i="51"/>
  <c r="AM59" i="51"/>
  <c r="AK59" i="51"/>
  <c r="AJ59" i="51"/>
  <c r="AE59" i="51"/>
  <c r="Y59" i="51"/>
  <c r="X59" i="51"/>
  <c r="BQ58" i="51"/>
  <c r="BP58" i="51"/>
  <c r="BO58" i="51"/>
  <c r="BN58" i="51"/>
  <c r="BI58" i="51"/>
  <c r="BH58" i="51"/>
  <c r="BD58" i="51"/>
  <c r="BC58" i="51"/>
  <c r="AZ58" i="51"/>
  <c r="AY58" i="51"/>
  <c r="AX58" i="51"/>
  <c r="AW58" i="51"/>
  <c r="AS58" i="51"/>
  <c r="AR58" i="51"/>
  <c r="AQ58" i="51"/>
  <c r="AM58" i="51"/>
  <c r="AK58" i="51"/>
  <c r="AJ58" i="51"/>
  <c r="AE58" i="51"/>
  <c r="Y58" i="51"/>
  <c r="X58" i="51"/>
  <c r="BQ57" i="51"/>
  <c r="BP57" i="51"/>
  <c r="BO57" i="51"/>
  <c r="BN57" i="51"/>
  <c r="BI57" i="51"/>
  <c r="BH57" i="51"/>
  <c r="BD57" i="51"/>
  <c r="BC57" i="51"/>
  <c r="AZ57" i="51"/>
  <c r="AY57" i="51"/>
  <c r="AX57" i="51"/>
  <c r="AW57" i="51"/>
  <c r="AS57" i="51"/>
  <c r="AR57" i="51"/>
  <c r="AQ57" i="51"/>
  <c r="AM57" i="51"/>
  <c r="AK57" i="51"/>
  <c r="AJ57" i="51"/>
  <c r="AE57" i="51"/>
  <c r="Y57" i="51"/>
  <c r="X57" i="51"/>
  <c r="BQ56" i="51"/>
  <c r="BP56" i="51"/>
  <c r="BO56" i="51"/>
  <c r="BN56" i="51"/>
  <c r="BI56" i="51"/>
  <c r="BH56" i="51"/>
  <c r="BD56" i="51"/>
  <c r="BC56" i="51"/>
  <c r="AZ56" i="51"/>
  <c r="AY56" i="51"/>
  <c r="AX56" i="51"/>
  <c r="AW56" i="51"/>
  <c r="AS56" i="51"/>
  <c r="AR56" i="51"/>
  <c r="AQ56" i="51"/>
  <c r="AM56" i="51"/>
  <c r="AK56" i="51"/>
  <c r="AJ56" i="51"/>
  <c r="AE56" i="51"/>
  <c r="Y56" i="51"/>
  <c r="X56" i="51"/>
  <c r="BQ55" i="51"/>
  <c r="BP55" i="51"/>
  <c r="BO55" i="51"/>
  <c r="BN55" i="51"/>
  <c r="BI55" i="51"/>
  <c r="BH55" i="51"/>
  <c r="BD55" i="51"/>
  <c r="BC55" i="51"/>
  <c r="AZ55" i="51"/>
  <c r="AY55" i="51"/>
  <c r="AX55" i="51"/>
  <c r="AW55" i="51"/>
  <c r="AS55" i="51"/>
  <c r="AR55" i="51"/>
  <c r="AQ55" i="51"/>
  <c r="AM55" i="51"/>
  <c r="AK55" i="51"/>
  <c r="AJ55" i="51"/>
  <c r="AE55" i="51"/>
  <c r="Y55" i="51"/>
  <c r="X55" i="51"/>
  <c r="BQ54" i="51"/>
  <c r="BP54" i="51"/>
  <c r="BO54" i="51"/>
  <c r="BN54" i="51"/>
  <c r="BI54" i="51"/>
  <c r="BH54" i="51"/>
  <c r="BD54" i="51"/>
  <c r="BC54" i="51"/>
  <c r="AZ54" i="51"/>
  <c r="AY54" i="51"/>
  <c r="AX54" i="51"/>
  <c r="AW54" i="51"/>
  <c r="AS54" i="51"/>
  <c r="AR54" i="51"/>
  <c r="AQ54" i="51"/>
  <c r="AM54" i="51"/>
  <c r="AK54" i="51"/>
  <c r="AJ54" i="51"/>
  <c r="AE54" i="51"/>
  <c r="Y54" i="51"/>
  <c r="X54" i="51"/>
  <c r="BQ53" i="51"/>
  <c r="BP53" i="51"/>
  <c r="BO53" i="51"/>
  <c r="BN53" i="51"/>
  <c r="BI53" i="51"/>
  <c r="BH53" i="51"/>
  <c r="BD53" i="51"/>
  <c r="BC53" i="51"/>
  <c r="AZ53" i="51"/>
  <c r="AY53" i="51"/>
  <c r="AX53" i="51"/>
  <c r="AW53" i="51"/>
  <c r="AS53" i="51"/>
  <c r="AR53" i="51"/>
  <c r="AQ53" i="51"/>
  <c r="AM53" i="51"/>
  <c r="AK53" i="51"/>
  <c r="AJ53" i="51"/>
  <c r="AE53" i="51"/>
  <c r="Y53" i="51"/>
  <c r="X53" i="51"/>
  <c r="BQ52" i="51"/>
  <c r="BP52" i="51"/>
  <c r="BO52" i="51"/>
  <c r="BN52" i="51"/>
  <c r="BI52" i="51"/>
  <c r="BH52" i="51"/>
  <c r="BD52" i="51"/>
  <c r="BC52" i="51"/>
  <c r="AZ52" i="51"/>
  <c r="AY52" i="51"/>
  <c r="AX52" i="51"/>
  <c r="AW52" i="51"/>
  <c r="AS52" i="51"/>
  <c r="AR52" i="51"/>
  <c r="AQ52" i="51"/>
  <c r="AM52" i="51"/>
  <c r="AK52" i="51"/>
  <c r="AJ52" i="51"/>
  <c r="AE52" i="51"/>
  <c r="Y52" i="51"/>
  <c r="X52" i="51"/>
  <c r="BQ51" i="51"/>
  <c r="BP51" i="51"/>
  <c r="BO51" i="51"/>
  <c r="BN51" i="51"/>
  <c r="BI51" i="51"/>
  <c r="BH51" i="51"/>
  <c r="BD51" i="51"/>
  <c r="BC51" i="51"/>
  <c r="AZ51" i="51"/>
  <c r="AY51" i="51"/>
  <c r="AX51" i="51"/>
  <c r="AW51" i="51"/>
  <c r="AS51" i="51"/>
  <c r="AR51" i="51"/>
  <c r="AQ51" i="51"/>
  <c r="AM51" i="51"/>
  <c r="AK51" i="51"/>
  <c r="AJ51" i="51"/>
  <c r="AE51" i="51"/>
  <c r="Y51" i="51"/>
  <c r="X51" i="51"/>
  <c r="BQ49" i="51"/>
  <c r="BP49" i="51"/>
  <c r="BO49" i="51"/>
  <c r="BN49" i="51"/>
  <c r="BI49" i="51"/>
  <c r="BH49" i="51"/>
  <c r="BD49" i="51"/>
  <c r="BC49" i="51"/>
  <c r="AZ49" i="51"/>
  <c r="AY49" i="51"/>
  <c r="AX49" i="51"/>
  <c r="AW49" i="51"/>
  <c r="AS49" i="51"/>
  <c r="AR49" i="51"/>
  <c r="AQ49" i="51"/>
  <c r="AM49" i="51"/>
  <c r="AK49" i="51"/>
  <c r="AJ49" i="51"/>
  <c r="AE49" i="51"/>
  <c r="Y49" i="51"/>
  <c r="X49" i="51"/>
  <c r="BQ48" i="51"/>
  <c r="BP48" i="51"/>
  <c r="BO48" i="51"/>
  <c r="BN48" i="51"/>
  <c r="BI48" i="51"/>
  <c r="BH48" i="51"/>
  <c r="BD48" i="51"/>
  <c r="BC48" i="51"/>
  <c r="AZ48" i="51"/>
  <c r="AY48" i="51"/>
  <c r="AX48" i="51"/>
  <c r="AW48" i="51"/>
  <c r="AS48" i="51"/>
  <c r="AR48" i="51"/>
  <c r="AQ48" i="51"/>
  <c r="AM48" i="51"/>
  <c r="AK48" i="51"/>
  <c r="AJ48" i="51"/>
  <c r="AE48" i="51"/>
  <c r="Y48" i="51"/>
  <c r="X48" i="51"/>
  <c r="BQ47" i="51"/>
  <c r="BP47" i="51"/>
  <c r="BO47" i="51"/>
  <c r="BN47" i="51"/>
  <c r="BI47" i="51"/>
  <c r="BH47" i="51"/>
  <c r="BD47" i="51"/>
  <c r="BC47" i="51"/>
  <c r="AZ47" i="51"/>
  <c r="AY47" i="51"/>
  <c r="AX47" i="51"/>
  <c r="AW47" i="51"/>
  <c r="AS47" i="51"/>
  <c r="AR47" i="51"/>
  <c r="AQ47" i="51"/>
  <c r="AM47" i="51"/>
  <c r="AK47" i="51"/>
  <c r="AJ47" i="51"/>
  <c r="AE47" i="51"/>
  <c r="Y47" i="51"/>
  <c r="X47" i="51"/>
  <c r="BQ46" i="51"/>
  <c r="BP46" i="51"/>
  <c r="BO46" i="51"/>
  <c r="BN46" i="51"/>
  <c r="BI46" i="51"/>
  <c r="BH46" i="51"/>
  <c r="BD46" i="51"/>
  <c r="BC46" i="51"/>
  <c r="AZ46" i="51"/>
  <c r="AY46" i="51"/>
  <c r="AX46" i="51"/>
  <c r="AW46" i="51"/>
  <c r="AS46" i="51"/>
  <c r="AR46" i="51"/>
  <c r="AQ46" i="51"/>
  <c r="AM46" i="51"/>
  <c r="AK46" i="51"/>
  <c r="AJ46" i="51"/>
  <c r="AE46" i="51"/>
  <c r="Y46" i="51"/>
  <c r="X46" i="51"/>
  <c r="BQ45" i="51"/>
  <c r="BP45" i="51"/>
  <c r="BO45" i="51"/>
  <c r="BN45" i="51"/>
  <c r="BI45" i="51"/>
  <c r="BH45" i="51"/>
  <c r="BD45" i="51"/>
  <c r="BC45" i="51"/>
  <c r="AZ45" i="51"/>
  <c r="AY45" i="51"/>
  <c r="AX45" i="51"/>
  <c r="AW45" i="51"/>
  <c r="AS45" i="51"/>
  <c r="AR45" i="51"/>
  <c r="AQ45" i="51"/>
  <c r="AM45" i="51"/>
  <c r="AK45" i="51"/>
  <c r="AJ45" i="51"/>
  <c r="AE45" i="51"/>
  <c r="Y45" i="51"/>
  <c r="X45" i="51"/>
  <c r="BQ44" i="51"/>
  <c r="BP44" i="51"/>
  <c r="BO44" i="51"/>
  <c r="BN44" i="51"/>
  <c r="BI44" i="51"/>
  <c r="BH44" i="51"/>
  <c r="BD44" i="51"/>
  <c r="BC44" i="51"/>
  <c r="AZ44" i="51"/>
  <c r="AY44" i="51"/>
  <c r="AX44" i="51"/>
  <c r="AW44" i="51"/>
  <c r="AS44" i="51"/>
  <c r="AR44" i="51"/>
  <c r="AQ44" i="51"/>
  <c r="AM44" i="51"/>
  <c r="AK44" i="51"/>
  <c r="AJ44" i="51"/>
  <c r="AE44" i="51"/>
  <c r="Y44" i="51"/>
  <c r="X44" i="51"/>
  <c r="BQ43" i="51"/>
  <c r="BP43" i="51"/>
  <c r="BO43" i="51"/>
  <c r="BN43" i="51"/>
  <c r="BI43" i="51"/>
  <c r="BH43" i="51"/>
  <c r="BD43" i="51"/>
  <c r="BC43" i="51"/>
  <c r="AZ43" i="51"/>
  <c r="AY43" i="51"/>
  <c r="AX43" i="51"/>
  <c r="AW43" i="51"/>
  <c r="AS43" i="51"/>
  <c r="AR43" i="51"/>
  <c r="AQ43" i="51"/>
  <c r="AM43" i="51"/>
  <c r="AK43" i="51"/>
  <c r="AJ43" i="51"/>
  <c r="AE43" i="51"/>
  <c r="Y43" i="51"/>
  <c r="X43" i="51"/>
  <c r="BQ42" i="51"/>
  <c r="BP42" i="51"/>
  <c r="BO42" i="51"/>
  <c r="BN42" i="51"/>
  <c r="BI42" i="51"/>
  <c r="BH42" i="51"/>
  <c r="BD42" i="51"/>
  <c r="BC42" i="51"/>
  <c r="AZ42" i="51"/>
  <c r="AY42" i="51"/>
  <c r="AX42" i="51"/>
  <c r="AW42" i="51"/>
  <c r="AS42" i="51"/>
  <c r="AR42" i="51"/>
  <c r="AQ42" i="51"/>
  <c r="AM42" i="51"/>
  <c r="AK42" i="51"/>
  <c r="AJ42" i="51"/>
  <c r="AE42" i="51"/>
  <c r="Y42" i="51"/>
  <c r="X42" i="51"/>
  <c r="BQ41" i="51"/>
  <c r="BP41" i="51"/>
  <c r="BO41" i="51"/>
  <c r="BN41" i="51"/>
  <c r="BI41" i="51"/>
  <c r="BH41" i="51"/>
  <c r="BD41" i="51"/>
  <c r="BC41" i="51"/>
  <c r="AZ41" i="51"/>
  <c r="AY41" i="51"/>
  <c r="AX41" i="51"/>
  <c r="AW41" i="51"/>
  <c r="AS41" i="51"/>
  <c r="AR41" i="51"/>
  <c r="AQ41" i="51"/>
  <c r="AM41" i="51"/>
  <c r="AK41" i="51"/>
  <c r="AJ41" i="51"/>
  <c r="AE41" i="51"/>
  <c r="Y41" i="51"/>
  <c r="X41" i="51"/>
  <c r="BQ40" i="51"/>
  <c r="BP40" i="51"/>
  <c r="BO40" i="51"/>
  <c r="BN40" i="51"/>
  <c r="BI40" i="51"/>
  <c r="BH40" i="51"/>
  <c r="BD40" i="51"/>
  <c r="BC40" i="51"/>
  <c r="AZ40" i="51"/>
  <c r="AY40" i="51"/>
  <c r="AX40" i="51"/>
  <c r="AW40" i="51"/>
  <c r="AS40" i="51"/>
  <c r="AR40" i="51"/>
  <c r="AQ40" i="51"/>
  <c r="AM40" i="51"/>
  <c r="AK40" i="51"/>
  <c r="AJ40" i="51"/>
  <c r="AE40" i="51"/>
  <c r="Y40" i="51"/>
  <c r="X40" i="51"/>
  <c r="BQ39" i="51"/>
  <c r="BP39" i="51"/>
  <c r="BO39" i="51"/>
  <c r="BN39" i="51"/>
  <c r="BI39" i="51"/>
  <c r="BH39" i="51"/>
  <c r="BD39" i="51"/>
  <c r="BC39" i="51"/>
  <c r="AZ39" i="51"/>
  <c r="AY39" i="51"/>
  <c r="AX39" i="51"/>
  <c r="AW39" i="51"/>
  <c r="AS39" i="51"/>
  <c r="AR39" i="51"/>
  <c r="AQ39" i="51"/>
  <c r="AM39" i="51"/>
  <c r="AK39" i="51"/>
  <c r="AJ39" i="51"/>
  <c r="AE39" i="51"/>
  <c r="Y39" i="51"/>
  <c r="X39" i="51"/>
  <c r="BQ38" i="51"/>
  <c r="BP38" i="51"/>
  <c r="BO38" i="51"/>
  <c r="BN38" i="51"/>
  <c r="BI38" i="51"/>
  <c r="BH38" i="51"/>
  <c r="BD38" i="51"/>
  <c r="BC38" i="51"/>
  <c r="AZ38" i="51"/>
  <c r="AY38" i="51"/>
  <c r="AX38" i="51"/>
  <c r="AW38" i="51"/>
  <c r="AS38" i="51"/>
  <c r="AR38" i="51"/>
  <c r="AQ38" i="51"/>
  <c r="AM38" i="51"/>
  <c r="AK38" i="51"/>
  <c r="AJ38" i="51"/>
  <c r="AE38" i="51"/>
  <c r="Y38" i="51"/>
  <c r="X38" i="51"/>
  <c r="BO36" i="51"/>
  <c r="BH36" i="51"/>
  <c r="AX36" i="51"/>
  <c r="AW36" i="51"/>
  <c r="AR36" i="51"/>
  <c r="AQ36" i="51"/>
  <c r="BO34" i="51"/>
  <c r="BH34" i="51"/>
  <c r="BM34" i="51" s="1"/>
  <c r="G34" i="6" s="1"/>
  <c r="AX34" i="51"/>
  <c r="AW34" i="51"/>
  <c r="BB34" i="51" s="1"/>
  <c r="E34" i="6" s="1"/>
  <c r="AR34" i="51"/>
  <c r="AQ34" i="51"/>
  <c r="BO33" i="51"/>
  <c r="BH33" i="51"/>
  <c r="BM33" i="51" s="1"/>
  <c r="G33" i="6" s="1"/>
  <c r="AX33" i="51"/>
  <c r="AW33" i="51"/>
  <c r="AR33" i="51"/>
  <c r="AQ33" i="51"/>
  <c r="AV33" i="51" s="1"/>
  <c r="D33" i="6" s="1"/>
  <c r="BO32" i="51"/>
  <c r="BH32" i="51"/>
  <c r="BM32" i="51" s="1"/>
  <c r="G32" i="6" s="1"/>
  <c r="AX32" i="51"/>
  <c r="AW32" i="51"/>
  <c r="BB32" i="51" s="1"/>
  <c r="E32" i="6" s="1"/>
  <c r="AR32" i="51"/>
  <c r="AQ32" i="51"/>
  <c r="BO31" i="51"/>
  <c r="BH31" i="51"/>
  <c r="BM31" i="51" s="1"/>
  <c r="G31" i="6" s="1"/>
  <c r="AX31" i="51"/>
  <c r="AW31" i="51"/>
  <c r="AR31" i="51"/>
  <c r="AQ31" i="51"/>
  <c r="AV31" i="51" s="1"/>
  <c r="D31" i="6" s="1"/>
  <c r="BO30" i="51"/>
  <c r="BH30" i="51"/>
  <c r="BM30" i="51" s="1"/>
  <c r="G30" i="6" s="1"/>
  <c r="AX30" i="51"/>
  <c r="AW30" i="51"/>
  <c r="BB30" i="51" s="1"/>
  <c r="E30" i="6" s="1"/>
  <c r="AR30" i="51"/>
  <c r="AQ30" i="51"/>
  <c r="BO29" i="51"/>
  <c r="BH29" i="51"/>
  <c r="BM29" i="51" s="1"/>
  <c r="G29" i="6" s="1"/>
  <c r="AX29" i="51"/>
  <c r="AW29" i="51"/>
  <c r="AR29" i="51"/>
  <c r="AQ29" i="51"/>
  <c r="AV29" i="51" s="1"/>
  <c r="D29" i="6" s="1"/>
  <c r="BO28" i="51"/>
  <c r="BH28" i="51"/>
  <c r="BM28" i="51" s="1"/>
  <c r="G28" i="6" s="1"/>
  <c r="AX28" i="51"/>
  <c r="AW28" i="51"/>
  <c r="BB28" i="51" s="1"/>
  <c r="E28" i="6" s="1"/>
  <c r="AR28" i="51"/>
  <c r="AQ28" i="51"/>
  <c r="BO27" i="51"/>
  <c r="BH27" i="51"/>
  <c r="BM27" i="51" s="1"/>
  <c r="G27" i="6" s="1"/>
  <c r="AX27" i="51"/>
  <c r="AW27" i="51"/>
  <c r="AR27" i="51"/>
  <c r="AQ27" i="51"/>
  <c r="AV27" i="51" s="1"/>
  <c r="D27" i="6" s="1"/>
  <c r="BO26" i="51"/>
  <c r="BH26" i="51"/>
  <c r="BM26" i="51" s="1"/>
  <c r="G26" i="6" s="1"/>
  <c r="AX26" i="51"/>
  <c r="AW26" i="51"/>
  <c r="BB26" i="51" s="1"/>
  <c r="E26" i="6" s="1"/>
  <c r="AR26" i="51"/>
  <c r="AQ26" i="51"/>
  <c r="BO25" i="51"/>
  <c r="BH25" i="51"/>
  <c r="BM25" i="51" s="1"/>
  <c r="G25" i="6" s="1"/>
  <c r="AX25" i="51"/>
  <c r="AW25" i="51"/>
  <c r="AR25" i="51"/>
  <c r="AQ25" i="51"/>
  <c r="AV25" i="51" s="1"/>
  <c r="D25" i="6" s="1"/>
  <c r="BO24" i="51"/>
  <c r="BH24" i="51"/>
  <c r="BM24" i="51" s="1"/>
  <c r="G24" i="6" s="1"/>
  <c r="AX24" i="51"/>
  <c r="AW24" i="51"/>
  <c r="BB24" i="51" s="1"/>
  <c r="E24" i="6" s="1"/>
  <c r="AR24" i="51"/>
  <c r="AQ24" i="51"/>
  <c r="BO23" i="51"/>
  <c r="BH23" i="51"/>
  <c r="BM23" i="51" s="1"/>
  <c r="G23" i="6" s="1"/>
  <c r="AX23" i="51"/>
  <c r="AW23" i="51"/>
  <c r="AR23" i="51"/>
  <c r="AQ23" i="51"/>
  <c r="AV23" i="51" s="1"/>
  <c r="D23" i="6" s="1"/>
  <c r="BO21" i="51"/>
  <c r="BH21" i="51"/>
  <c r="BM21" i="51" s="1"/>
  <c r="G21" i="6" s="1"/>
  <c r="AX21" i="51"/>
  <c r="AW21" i="51"/>
  <c r="BB21" i="51" s="1"/>
  <c r="E21" i="6" s="1"/>
  <c r="AR21" i="51"/>
  <c r="AQ21" i="51"/>
  <c r="BO20" i="51"/>
  <c r="BH20" i="51"/>
  <c r="BM20" i="51" s="1"/>
  <c r="G20" i="6" s="1"/>
  <c r="AX20" i="51"/>
  <c r="AW20" i="51"/>
  <c r="AR20" i="51"/>
  <c r="AQ20" i="51"/>
  <c r="AV20" i="51" s="1"/>
  <c r="D20" i="6" s="1"/>
  <c r="BO19" i="51"/>
  <c r="BH19" i="51"/>
  <c r="BM19" i="51" s="1"/>
  <c r="G19" i="6" s="1"/>
  <c r="AX19" i="51"/>
  <c r="AW19" i="51"/>
  <c r="BB19" i="51" s="1"/>
  <c r="E19" i="6" s="1"/>
  <c r="AR19" i="51"/>
  <c r="AQ19" i="51"/>
  <c r="BO18" i="51"/>
  <c r="BH18" i="51"/>
  <c r="BM18" i="51" s="1"/>
  <c r="G18" i="6" s="1"/>
  <c r="AX18" i="51"/>
  <c r="AW18" i="51"/>
  <c r="AR18" i="51"/>
  <c r="AQ18" i="51"/>
  <c r="AV18" i="51" s="1"/>
  <c r="D18" i="6" s="1"/>
  <c r="BO17" i="51"/>
  <c r="BH17" i="51"/>
  <c r="BM17" i="51" s="1"/>
  <c r="G17" i="6" s="1"/>
  <c r="AX17" i="51"/>
  <c r="AW17" i="51"/>
  <c r="BB17" i="51" s="1"/>
  <c r="E17" i="6" s="1"/>
  <c r="AR17" i="51"/>
  <c r="AQ17" i="51"/>
  <c r="BO16" i="51"/>
  <c r="BH16" i="51"/>
  <c r="BM16" i="51" s="1"/>
  <c r="G16" i="6" s="1"/>
  <c r="AX16" i="51"/>
  <c r="AW16" i="51"/>
  <c r="AR16" i="51"/>
  <c r="AQ16" i="51"/>
  <c r="AV16" i="51" s="1"/>
  <c r="D16" i="6" s="1"/>
  <c r="BO15" i="51"/>
  <c r="BH15" i="51"/>
  <c r="BM15" i="51" s="1"/>
  <c r="G15" i="6" s="1"/>
  <c r="AX15" i="51"/>
  <c r="AW15" i="51"/>
  <c r="BB15" i="51" s="1"/>
  <c r="E15" i="6" s="1"/>
  <c r="AR15" i="51"/>
  <c r="AQ15" i="51"/>
  <c r="AV15" i="51" s="1"/>
  <c r="D15" i="6" s="1"/>
  <c r="BO14" i="51"/>
  <c r="BH14" i="51"/>
  <c r="BM14" i="51" s="1"/>
  <c r="G14" i="6" s="1"/>
  <c r="AX14" i="51"/>
  <c r="AW14" i="51"/>
  <c r="BB14" i="51" s="1"/>
  <c r="E14" i="6" s="1"/>
  <c r="AR14" i="51"/>
  <c r="AQ14" i="51"/>
  <c r="AV14" i="51" s="1"/>
  <c r="D14" i="6" s="1"/>
  <c r="BO13" i="51"/>
  <c r="BH13" i="51"/>
  <c r="BM13" i="51" s="1"/>
  <c r="G13" i="6" s="1"/>
  <c r="AX13" i="51"/>
  <c r="AW13" i="51"/>
  <c r="BB13" i="51" s="1"/>
  <c r="E13" i="6" s="1"/>
  <c r="AR13" i="51"/>
  <c r="AQ13" i="51"/>
  <c r="AV13" i="51" s="1"/>
  <c r="D13" i="6" s="1"/>
  <c r="BO12" i="51"/>
  <c r="BH12" i="51"/>
  <c r="BM12" i="51" s="1"/>
  <c r="G12" i="6" s="1"/>
  <c r="AX12" i="51"/>
  <c r="AW12" i="51"/>
  <c r="BB12" i="51" s="1"/>
  <c r="E12" i="6" s="1"/>
  <c r="AR12" i="51"/>
  <c r="AQ12" i="51"/>
  <c r="AV12" i="51" s="1"/>
  <c r="D12" i="6" s="1"/>
  <c r="BO11" i="51"/>
  <c r="BH11" i="51"/>
  <c r="BM11" i="51" s="1"/>
  <c r="G11" i="6" s="1"/>
  <c r="AX11" i="51"/>
  <c r="AW11" i="51"/>
  <c r="BB11" i="51" s="1"/>
  <c r="E11" i="6" s="1"/>
  <c r="AR11" i="51"/>
  <c r="AQ11" i="51"/>
  <c r="AV11" i="51" s="1"/>
  <c r="D11" i="6" s="1"/>
  <c r="BO10" i="51"/>
  <c r="BH10" i="51"/>
  <c r="BM10" i="51" s="1"/>
  <c r="G10" i="6" s="1"/>
  <c r="AX10" i="51"/>
  <c r="AW10" i="51"/>
  <c r="BB10" i="51" s="1"/>
  <c r="E10" i="6" s="1"/>
  <c r="AR10" i="51"/>
  <c r="AQ10" i="51"/>
  <c r="AV10" i="51" s="1"/>
  <c r="D10" i="6" s="1"/>
  <c r="BO9" i="51"/>
  <c r="BH9" i="51"/>
  <c r="BM9" i="51" s="1"/>
  <c r="G9" i="6" s="1"/>
  <c r="AX9" i="51"/>
  <c r="AW9" i="51"/>
  <c r="BB9" i="51" s="1"/>
  <c r="E9" i="6" s="1"/>
  <c r="AR9" i="51"/>
  <c r="AQ9" i="51"/>
  <c r="AV9" i="51" s="1"/>
  <c r="D9" i="6" s="1"/>
  <c r="BO8" i="51"/>
  <c r="BH8" i="51"/>
  <c r="BM8" i="51" s="1"/>
  <c r="G8" i="6" s="1"/>
  <c r="AX8" i="51"/>
  <c r="AW8" i="51"/>
  <c r="BB8" i="51" s="1"/>
  <c r="E8" i="6" s="1"/>
  <c r="AR8" i="51"/>
  <c r="AQ8" i="51"/>
  <c r="AV8" i="51" s="1"/>
  <c r="D8" i="6" s="1"/>
  <c r="BO7" i="51"/>
  <c r="BH7" i="51"/>
  <c r="BM7" i="51" s="1"/>
  <c r="G7" i="6" s="1"/>
  <c r="AX7" i="51"/>
  <c r="AW7" i="51"/>
  <c r="BB7" i="51" s="1"/>
  <c r="E7" i="6" s="1"/>
  <c r="AR7" i="51"/>
  <c r="AQ7" i="51"/>
  <c r="AV7" i="51" s="1"/>
  <c r="D7" i="6" s="1"/>
  <c r="BO6" i="51"/>
  <c r="BH6" i="51"/>
  <c r="BM6" i="51" s="1"/>
  <c r="G6" i="6" s="1"/>
  <c r="AX6" i="51"/>
  <c r="AW6" i="51"/>
  <c r="BB6" i="51" s="1"/>
  <c r="E6" i="6" s="1"/>
  <c r="AR6" i="51"/>
  <c r="AQ6" i="51"/>
  <c r="AV6" i="51" s="1"/>
  <c r="D6" i="6" s="1"/>
  <c r="BO5" i="51"/>
  <c r="BH5" i="51"/>
  <c r="BM5" i="51" s="1"/>
  <c r="G5" i="6" s="1"/>
  <c r="AX5" i="51"/>
  <c r="AW5" i="51"/>
  <c r="BB5" i="51" s="1"/>
  <c r="E5" i="6" s="1"/>
  <c r="AR5" i="51"/>
  <c r="AQ5" i="51"/>
  <c r="AV5" i="51" s="1"/>
  <c r="D5" i="6" s="1"/>
  <c r="BO4" i="51"/>
  <c r="BH4" i="51"/>
  <c r="BM4" i="51" s="1"/>
  <c r="G4" i="6" s="1"/>
  <c r="AX4" i="51"/>
  <c r="AW4" i="51"/>
  <c r="BB4" i="51" s="1"/>
  <c r="E4" i="6" s="1"/>
  <c r="AR4" i="51"/>
  <c r="AQ4" i="51"/>
  <c r="AV4" i="51" s="1"/>
  <c r="D4" i="6" s="1"/>
  <c r="BO3" i="51"/>
  <c r="BR3" i="51" s="1"/>
  <c r="H3" i="6" s="1"/>
  <c r="BH3" i="51"/>
  <c r="BM3" i="51" s="1"/>
  <c r="G3" i="6" s="1"/>
  <c r="AX3" i="51"/>
  <c r="AW3" i="51"/>
  <c r="BB3" i="51" s="1"/>
  <c r="E3" i="6" s="1"/>
  <c r="AR3" i="51"/>
  <c r="AQ3" i="51"/>
  <c r="AV3" i="51" s="1"/>
  <c r="D3" i="6" s="1"/>
  <c r="AJ3" i="51"/>
  <c r="J61" i="19" l="1"/>
  <c r="J21" i="19"/>
  <c r="I3" i="6"/>
  <c r="BB16" i="51"/>
  <c r="E16" i="6" s="1"/>
  <c r="AV17" i="51"/>
  <c r="D17" i="6" s="1"/>
  <c r="BB18" i="51"/>
  <c r="E18" i="6" s="1"/>
  <c r="AV19" i="51"/>
  <c r="D19" i="6" s="1"/>
  <c r="BB20" i="51"/>
  <c r="E20" i="6" s="1"/>
  <c r="AV21" i="51"/>
  <c r="D21" i="6" s="1"/>
  <c r="BB23" i="51"/>
  <c r="E23" i="6" s="1"/>
  <c r="AV24" i="51"/>
  <c r="D24" i="6" s="1"/>
  <c r="BB25" i="51"/>
  <c r="E25" i="6" s="1"/>
  <c r="AV26" i="51"/>
  <c r="D26" i="6" s="1"/>
  <c r="BB27" i="51"/>
  <c r="E27" i="6" s="1"/>
  <c r="AV28" i="51"/>
  <c r="D28" i="6" s="1"/>
  <c r="BB29" i="51"/>
  <c r="E29" i="6" s="1"/>
  <c r="AV30" i="51"/>
  <c r="D30" i="6" s="1"/>
  <c r="BB31" i="51"/>
  <c r="E31" i="6" s="1"/>
  <c r="AV32" i="51"/>
  <c r="D32" i="6" s="1"/>
  <c r="BB33" i="51"/>
  <c r="E33" i="6" s="1"/>
  <c r="AV34" i="51"/>
  <c r="D34" i="6" s="1"/>
  <c r="BB53" i="51"/>
  <c r="E53" i="6" s="1"/>
  <c r="BB48" i="51"/>
  <c r="E48" i="6" s="1"/>
  <c r="BB39" i="51"/>
  <c r="E39" i="6" s="1"/>
  <c r="BB56" i="51"/>
  <c r="E56" i="6" s="1"/>
  <c r="BB36" i="51"/>
  <c r="E36" i="6" s="1"/>
  <c r="BB42" i="51"/>
  <c r="E42" i="6" s="1"/>
  <c r="BB57" i="51"/>
  <c r="E57" i="6" s="1"/>
  <c r="BB52" i="51"/>
  <c r="E52" i="6" s="1"/>
  <c r="BB47" i="51"/>
  <c r="E47" i="6" s="1"/>
  <c r="BB43" i="51"/>
  <c r="E43" i="6" s="1"/>
  <c r="BB60" i="51"/>
  <c r="E60" i="6" s="1"/>
  <c r="BB51" i="51"/>
  <c r="E51" i="6" s="1"/>
  <c r="BB41" i="51"/>
  <c r="E41" i="6" s="1"/>
  <c r="BB49" i="51"/>
  <c r="E49" i="6" s="1"/>
  <c r="BB45" i="51"/>
  <c r="E45" i="6" s="1"/>
  <c r="BB40" i="51"/>
  <c r="E40" i="6" s="1"/>
  <c r="BB54" i="51"/>
  <c r="E54" i="6" s="1"/>
  <c r="BB59" i="51"/>
  <c r="E59" i="6" s="1"/>
  <c r="AV22" i="51"/>
  <c r="D22" i="6" s="1"/>
  <c r="AV36" i="51"/>
  <c r="D36" i="6" s="1"/>
  <c r="AV39" i="51"/>
  <c r="D39" i="6" s="1"/>
  <c r="AV60" i="51"/>
  <c r="D60" i="6" s="1"/>
  <c r="BM41" i="51"/>
  <c r="G41" i="6" s="1"/>
  <c r="BM53" i="51"/>
  <c r="G53" i="6" s="1"/>
  <c r="BM44" i="51"/>
  <c r="G44" i="6" s="1"/>
  <c r="BM36" i="51"/>
  <c r="G36" i="6" s="1"/>
  <c r="BM49" i="51"/>
  <c r="G49" i="6" s="1"/>
  <c r="BM56" i="51"/>
  <c r="G56" i="6" s="1"/>
  <c r="BM39" i="51"/>
  <c r="G39" i="6" s="1"/>
  <c r="BM46" i="51"/>
  <c r="G46" i="6" s="1"/>
  <c r="BM52" i="51"/>
  <c r="G52" i="6" s="1"/>
  <c r="BM59" i="51"/>
  <c r="G59" i="6" s="1"/>
  <c r="BM42" i="51"/>
  <c r="G42" i="6" s="1"/>
  <c r="BM45" i="51"/>
  <c r="G45" i="6" s="1"/>
  <c r="BM40" i="51"/>
  <c r="G40" i="6" s="1"/>
  <c r="BM47" i="51"/>
  <c r="G47" i="6" s="1"/>
  <c r="BM55" i="51"/>
  <c r="G55" i="6" s="1"/>
  <c r="BM38" i="51"/>
  <c r="G38" i="6" s="1"/>
  <c r="BM54" i="51"/>
  <c r="G54" i="6" s="1"/>
  <c r="BM48" i="51"/>
  <c r="G48" i="6" s="1"/>
  <c r="BM60" i="51"/>
  <c r="G60" i="6" s="1"/>
  <c r="BM43" i="51"/>
  <c r="G43" i="6" s="1"/>
  <c r="BM51" i="51"/>
  <c r="G51" i="6" s="1"/>
  <c r="BM57" i="51"/>
  <c r="G57" i="6" s="1"/>
  <c r="AI20" i="51"/>
  <c r="AI36" i="51"/>
  <c r="AI7" i="51"/>
  <c r="I7" i="6" s="1"/>
  <c r="AI18" i="51"/>
  <c r="I18" i="6" s="1"/>
  <c r="AI27" i="51"/>
  <c r="W22" i="51"/>
  <c r="BR5" i="51"/>
  <c r="H5" i="6" s="1"/>
  <c r="AI6" i="51"/>
  <c r="I6" i="6" s="1"/>
  <c r="BR10" i="51"/>
  <c r="H10" i="6" s="1"/>
  <c r="BR13" i="51"/>
  <c r="H13" i="6" s="1"/>
  <c r="AI14" i="51"/>
  <c r="AI26" i="51"/>
  <c r="I26" i="6" s="1"/>
  <c r="AI33" i="51"/>
  <c r="BR62" i="51"/>
  <c r="BR8" i="51"/>
  <c r="H8" i="6" s="1"/>
  <c r="AI8" i="51"/>
  <c r="I8" i="6" s="1"/>
  <c r="AI12" i="51"/>
  <c r="AI16" i="51"/>
  <c r="AI17" i="51"/>
  <c r="BR21" i="51"/>
  <c r="H21" i="6" s="1"/>
  <c r="AI29" i="51"/>
  <c r="BR29" i="51"/>
  <c r="H29" i="6" s="1"/>
  <c r="AI30" i="51"/>
  <c r="BR4" i="51"/>
  <c r="H4" i="6" s="1"/>
  <c r="BR6" i="51"/>
  <c r="H6" i="6" s="1"/>
  <c r="BR26" i="51"/>
  <c r="H26" i="6" s="1"/>
  <c r="BR30" i="51"/>
  <c r="H30" i="6" s="1"/>
  <c r="AI4" i="51"/>
  <c r="I4" i="6" s="1"/>
  <c r="AI5" i="51"/>
  <c r="AI13" i="51"/>
  <c r="I13" i="6" s="1"/>
  <c r="BR15" i="51"/>
  <c r="H15" i="6" s="1"/>
  <c r="AI25" i="51"/>
  <c r="I25" i="6" s="1"/>
  <c r="BR28" i="51"/>
  <c r="H28" i="6" s="1"/>
  <c r="AI31" i="51"/>
  <c r="BR31" i="51"/>
  <c r="H31" i="6" s="1"/>
  <c r="BR33" i="51"/>
  <c r="H33" i="6" s="1"/>
  <c r="AI34" i="51"/>
  <c r="BR36" i="51"/>
  <c r="BR14" i="51"/>
  <c r="H14" i="6" s="1"/>
  <c r="BR34" i="51"/>
  <c r="H34" i="6" s="1"/>
  <c r="BR7" i="51"/>
  <c r="H7" i="6" s="1"/>
  <c r="AI10" i="51"/>
  <c r="I10" i="6" s="1"/>
  <c r="BR18" i="51"/>
  <c r="H18" i="6" s="1"/>
  <c r="AI19" i="51"/>
  <c r="I19" i="6" s="1"/>
  <c r="BR20" i="51"/>
  <c r="H20" i="6" s="1"/>
  <c r="AI21" i="51"/>
  <c r="AI23" i="51"/>
  <c r="AI24" i="51"/>
  <c r="BR27" i="51"/>
  <c r="H27" i="6" s="1"/>
  <c r="AI62" i="51"/>
  <c r="AW22" i="51"/>
  <c r="BR56" i="51"/>
  <c r="H56" i="6" s="1"/>
  <c r="BR12" i="51"/>
  <c r="H12" i="6" s="1"/>
  <c r="BO22" i="51"/>
  <c r="BR25" i="51"/>
  <c r="H25" i="6" s="1"/>
  <c r="BR52" i="51"/>
  <c r="H52" i="6" s="1"/>
  <c r="BR9" i="51"/>
  <c r="H9" i="6" s="1"/>
  <c r="BR11" i="51"/>
  <c r="H11" i="6" s="1"/>
  <c r="BR17" i="51"/>
  <c r="H17" i="6" s="1"/>
  <c r="AX22" i="51"/>
  <c r="AR22" i="51"/>
  <c r="BR39" i="51"/>
  <c r="H39" i="6" s="1"/>
  <c r="AI9" i="51"/>
  <c r="I9" i="6" s="1"/>
  <c r="AI11" i="51"/>
  <c r="I11" i="6" s="1"/>
  <c r="AI15" i="51"/>
  <c r="BR16" i="51"/>
  <c r="H16" i="6" s="1"/>
  <c r="BR23" i="51"/>
  <c r="H23" i="6" s="1"/>
  <c r="BR51" i="51"/>
  <c r="H51" i="6" s="1"/>
  <c r="BR19" i="51"/>
  <c r="H19" i="6" s="1"/>
  <c r="AI28" i="51"/>
  <c r="I28" i="6" s="1"/>
  <c r="BR32" i="51"/>
  <c r="H32" i="6" s="1"/>
  <c r="BR57" i="51"/>
  <c r="H57" i="6" s="1"/>
  <c r="BF65" i="51"/>
  <c r="BR49" i="51"/>
  <c r="H49" i="6" s="1"/>
  <c r="BR54" i="51"/>
  <c r="H54" i="6" s="1"/>
  <c r="BR24" i="51"/>
  <c r="H24" i="6" s="1"/>
  <c r="O5" i="27"/>
  <c r="O4" i="27"/>
  <c r="G5" i="27"/>
  <c r="G4" i="27"/>
  <c r="C5" i="27"/>
  <c r="C4" i="27"/>
  <c r="H35" i="19"/>
  <c r="O35" i="19" s="1"/>
  <c r="J62" i="19" l="1"/>
  <c r="J22" i="19"/>
  <c r="I24" i="6"/>
  <c r="AV54" i="51"/>
  <c r="D54" i="6" s="1"/>
  <c r="AV55" i="51"/>
  <c r="D55" i="6" s="1"/>
  <c r="BB22" i="51"/>
  <c r="E22" i="6" s="1"/>
  <c r="I17" i="6"/>
  <c r="I14" i="6"/>
  <c r="AV52" i="51"/>
  <c r="D52" i="6" s="1"/>
  <c r="AV41" i="51"/>
  <c r="D41" i="6" s="1"/>
  <c r="AV42" i="51"/>
  <c r="D42" i="6" s="1"/>
  <c r="I62" i="6"/>
  <c r="AI65" i="51"/>
  <c r="AI64" i="51"/>
  <c r="AI66" i="51"/>
  <c r="AI63" i="51"/>
  <c r="I63" i="6" s="1"/>
  <c r="I21" i="6"/>
  <c r="BR55" i="51"/>
  <c r="H55" i="6" s="1"/>
  <c r="H36" i="6"/>
  <c r="I31" i="6"/>
  <c r="I16" i="6"/>
  <c r="I36" i="6"/>
  <c r="AI41" i="51"/>
  <c r="AI38" i="51"/>
  <c r="AI52" i="51"/>
  <c r="AI40" i="51"/>
  <c r="I40" i="6" s="1"/>
  <c r="AI58" i="51"/>
  <c r="AI60" i="51"/>
  <c r="AI55" i="51"/>
  <c r="AI49" i="51"/>
  <c r="I49" i="6" s="1"/>
  <c r="AI47" i="51"/>
  <c r="AI53" i="51"/>
  <c r="AI54" i="51"/>
  <c r="AI46" i="51"/>
  <c r="AI39" i="51"/>
  <c r="AI56" i="51"/>
  <c r="AI42" i="51"/>
  <c r="AI44" i="51"/>
  <c r="I44" i="6" s="1"/>
  <c r="AI45" i="51"/>
  <c r="AI51" i="51"/>
  <c r="AI43" i="51"/>
  <c r="AI48" i="51"/>
  <c r="I48" i="6" s="1"/>
  <c r="AI57" i="51"/>
  <c r="AI59" i="51"/>
  <c r="BM58" i="51"/>
  <c r="G58" i="6" s="1"/>
  <c r="AV38" i="51"/>
  <c r="D38" i="6" s="1"/>
  <c r="AV44" i="51"/>
  <c r="D44" i="6" s="1"/>
  <c r="AV45" i="51"/>
  <c r="D45" i="6" s="1"/>
  <c r="AV40" i="51"/>
  <c r="D40" i="6" s="1"/>
  <c r="AV46" i="51"/>
  <c r="D46" i="6" s="1"/>
  <c r="E38" i="6"/>
  <c r="BB58" i="51"/>
  <c r="E58" i="6" s="1"/>
  <c r="I32" i="6"/>
  <c r="I35" i="6" s="1"/>
  <c r="AV57" i="51"/>
  <c r="D57" i="6" s="1"/>
  <c r="I23" i="6"/>
  <c r="I30" i="6"/>
  <c r="AV47" i="51"/>
  <c r="D47" i="6" s="1"/>
  <c r="AV58" i="51"/>
  <c r="D58" i="6" s="1"/>
  <c r="AV59" i="51"/>
  <c r="D59" i="6" s="1"/>
  <c r="I15" i="6"/>
  <c r="I34" i="6"/>
  <c r="I5" i="6"/>
  <c r="I29" i="6"/>
  <c r="I12" i="6"/>
  <c r="I33" i="6"/>
  <c r="I27" i="6"/>
  <c r="I20" i="6"/>
  <c r="AV56" i="51"/>
  <c r="D56" i="6" s="1"/>
  <c r="AV43" i="51"/>
  <c r="D43" i="6" s="1"/>
  <c r="AV53" i="51"/>
  <c r="D53" i="6" s="1"/>
  <c r="AV49" i="51"/>
  <c r="D49" i="6" s="1"/>
  <c r="AV48" i="51"/>
  <c r="D48" i="6" s="1"/>
  <c r="AV51" i="51"/>
  <c r="D51" i="6" s="1"/>
  <c r="BB46" i="51"/>
  <c r="E46" i="6" s="1"/>
  <c r="BB44" i="51"/>
  <c r="E44" i="6" s="1"/>
  <c r="BB55" i="51"/>
  <c r="E55" i="6" s="1"/>
  <c r="BR40" i="51"/>
  <c r="H40" i="6" s="1"/>
  <c r="BR64" i="51"/>
  <c r="BR65" i="51"/>
  <c r="BR58" i="51"/>
  <c r="H58" i="6" s="1"/>
  <c r="BR42" i="51"/>
  <c r="H42" i="6" s="1"/>
  <c r="BR60" i="51"/>
  <c r="H60" i="6" s="1"/>
  <c r="BR38" i="51"/>
  <c r="H38" i="6" s="1"/>
  <c r="BR45" i="51"/>
  <c r="H45" i="6" s="1"/>
  <c r="BR41" i="51"/>
  <c r="H41" i="6" s="1"/>
  <c r="BR53" i="51"/>
  <c r="H53" i="6" s="1"/>
  <c r="BR48" i="51"/>
  <c r="H48" i="6" s="1"/>
  <c r="BR44" i="51"/>
  <c r="H44" i="6" s="1"/>
  <c r="BR47" i="51"/>
  <c r="H47" i="6" s="1"/>
  <c r="BR59" i="51"/>
  <c r="H59" i="6" s="1"/>
  <c r="BR46" i="51"/>
  <c r="H46" i="6" s="1"/>
  <c r="BR43" i="51"/>
  <c r="H43" i="6" s="1"/>
  <c r="I7" i="2"/>
  <c r="I8" i="2"/>
  <c r="I3" i="2"/>
  <c r="I15" i="2"/>
  <c r="I30" i="2"/>
  <c r="I29" i="2"/>
  <c r="I20" i="2"/>
  <c r="I4" i="2"/>
  <c r="I9" i="2"/>
  <c r="I26" i="2"/>
  <c r="I19" i="2"/>
  <c r="I32" i="2"/>
  <c r="I35" i="2" s="1"/>
  <c r="I33" i="2"/>
  <c r="I31" i="2"/>
  <c r="I14" i="2"/>
  <c r="I17" i="2"/>
  <c r="I24" i="2"/>
  <c r="I18" i="2"/>
  <c r="I10" i="2"/>
  <c r="I34" i="2"/>
  <c r="I6" i="2"/>
  <c r="I27" i="2"/>
  <c r="I23" i="2"/>
  <c r="I28" i="2"/>
  <c r="I21" i="2"/>
  <c r="I16" i="2"/>
  <c r="I5" i="2"/>
  <c r="I25" i="2"/>
  <c r="I12" i="2"/>
  <c r="I11" i="2"/>
  <c r="I13" i="2"/>
  <c r="I26" i="1"/>
  <c r="I30" i="1"/>
  <c r="I34" i="1"/>
  <c r="I31" i="1"/>
  <c r="I25" i="1"/>
  <c r="I27" i="1"/>
  <c r="I32" i="1"/>
  <c r="I28" i="1"/>
  <c r="I29" i="1"/>
  <c r="I33" i="1"/>
  <c r="BF64" i="51"/>
  <c r="BF63" i="51"/>
  <c r="BF66" i="51"/>
  <c r="AI22" i="51"/>
  <c r="I22" i="6" s="1"/>
  <c r="BR22" i="51"/>
  <c r="H22" i="6" s="1"/>
  <c r="H11" i="19"/>
  <c r="O11" i="19" s="1"/>
  <c r="H22" i="19"/>
  <c r="O22" i="19" s="1"/>
  <c r="H33" i="19"/>
  <c r="O33" i="19" s="1"/>
  <c r="H13" i="19"/>
  <c r="O13" i="19" s="1"/>
  <c r="H18" i="19"/>
  <c r="O18" i="19" s="1"/>
  <c r="H23" i="19"/>
  <c r="O23" i="19" s="1"/>
  <c r="H29" i="19"/>
  <c r="O29" i="19" s="1"/>
  <c r="H34" i="19"/>
  <c r="O34" i="19" s="1"/>
  <c r="H39" i="19"/>
  <c r="O39" i="19" s="1"/>
  <c r="H14" i="19"/>
  <c r="O14" i="19" s="1"/>
  <c r="H19" i="19"/>
  <c r="O19" i="19" s="1"/>
  <c r="H25" i="19"/>
  <c r="O25" i="19" s="1"/>
  <c r="H30" i="19"/>
  <c r="O30" i="19" s="1"/>
  <c r="H36" i="19"/>
  <c r="O36" i="19" s="1"/>
  <c r="H32" i="19"/>
  <c r="O32" i="19" s="1"/>
  <c r="H28" i="19"/>
  <c r="O28" i="19" s="1"/>
  <c r="H24" i="19"/>
  <c r="O24" i="19" s="1"/>
  <c r="H20" i="19"/>
  <c r="O20" i="19" s="1"/>
  <c r="H16" i="19"/>
  <c r="O16" i="19" s="1"/>
  <c r="H12" i="19"/>
  <c r="O12" i="19" s="1"/>
  <c r="O8" i="19"/>
  <c r="H17" i="19"/>
  <c r="O17" i="19" s="1"/>
  <c r="H27" i="19"/>
  <c r="O27" i="19" s="1"/>
  <c r="H38" i="19"/>
  <c r="O38" i="19" s="1"/>
  <c r="H10" i="19"/>
  <c r="O10" i="19" s="1"/>
  <c r="H15" i="19"/>
  <c r="O15" i="19" s="1"/>
  <c r="H21" i="19"/>
  <c r="O21" i="19" s="1"/>
  <c r="H26" i="19"/>
  <c r="O26" i="19" s="1"/>
  <c r="H31" i="19"/>
  <c r="O31" i="19" s="1"/>
  <c r="H37" i="19"/>
  <c r="O37" i="19" s="1"/>
  <c r="J63" i="19" l="1"/>
  <c r="J23" i="19"/>
  <c r="I64" i="6"/>
  <c r="I35" i="1"/>
  <c r="D5" i="40" s="1"/>
  <c r="C5" i="40"/>
  <c r="I65" i="6"/>
  <c r="I39" i="6"/>
  <c r="I42" i="6"/>
  <c r="I55" i="6"/>
  <c r="I59" i="6"/>
  <c r="I51" i="6"/>
  <c r="I56" i="6"/>
  <c r="I53" i="6"/>
  <c r="I60" i="6"/>
  <c r="I38" i="6"/>
  <c r="I66" i="6"/>
  <c r="I46" i="6"/>
  <c r="I43" i="6"/>
  <c r="I54" i="6"/>
  <c r="I52" i="6"/>
  <c r="I57" i="6"/>
  <c r="I45" i="6"/>
  <c r="I47" i="6"/>
  <c r="M10" i="62" s="1"/>
  <c r="I58" i="6"/>
  <c r="I41" i="6"/>
  <c r="I62" i="2"/>
  <c r="I66" i="2" s="1"/>
  <c r="I22" i="2"/>
  <c r="I36" i="2"/>
  <c r="I36" i="1"/>
  <c r="U8" i="18"/>
  <c r="F8" i="18"/>
  <c r="B8" i="18"/>
  <c r="B8" i="36"/>
  <c r="J64" i="19" l="1"/>
  <c r="J24" i="19"/>
  <c r="M11" i="62"/>
  <c r="K10" i="19"/>
  <c r="K11" i="19"/>
  <c r="K12" i="19"/>
  <c r="K13" i="19"/>
  <c r="K14" i="19"/>
  <c r="K15" i="19"/>
  <c r="K16" i="19"/>
  <c r="K17" i="19"/>
  <c r="K18" i="19"/>
  <c r="K19" i="19"/>
  <c r="K20" i="19"/>
  <c r="K21" i="19"/>
  <c r="K22" i="19"/>
  <c r="K23" i="19"/>
  <c r="K24" i="19"/>
  <c r="I42" i="1"/>
  <c r="F5" i="40"/>
  <c r="H5" i="40" s="1"/>
  <c r="I5" i="40" s="1"/>
  <c r="I48" i="2"/>
  <c r="I43" i="2"/>
  <c r="I47" i="2"/>
  <c r="I64" i="2"/>
  <c r="I63" i="2"/>
  <c r="I65" i="2"/>
  <c r="I40" i="2"/>
  <c r="I58" i="2"/>
  <c r="I57" i="2"/>
  <c r="I42" i="2"/>
  <c r="I56" i="2"/>
  <c r="I52" i="2"/>
  <c r="I59" i="2"/>
  <c r="I41" i="2"/>
  <c r="I44" i="2"/>
  <c r="I55" i="2"/>
  <c r="I54" i="2"/>
  <c r="I49" i="2"/>
  <c r="I45" i="2"/>
  <c r="I60" i="2"/>
  <c r="I39" i="2"/>
  <c r="I46" i="2"/>
  <c r="I51" i="2"/>
  <c r="I53" i="2"/>
  <c r="I38" i="2"/>
  <c r="I57" i="1"/>
  <c r="I54" i="1"/>
  <c r="I41" i="1"/>
  <c r="I53" i="1"/>
  <c r="I49" i="1"/>
  <c r="I44" i="1"/>
  <c r="I43" i="1"/>
  <c r="I60" i="1"/>
  <c r="B35" i="14" s="1"/>
  <c r="I52" i="1"/>
  <c r="I48" i="1"/>
  <c r="I56" i="1"/>
  <c r="I38" i="1"/>
  <c r="I40" i="1"/>
  <c r="I45" i="1"/>
  <c r="I58" i="1"/>
  <c r="I39" i="1"/>
  <c r="I59" i="1"/>
  <c r="I51" i="1"/>
  <c r="I47" i="1"/>
  <c r="I46" i="1"/>
  <c r="I55" i="1"/>
  <c r="B9" i="36"/>
  <c r="D8" i="18"/>
  <c r="C8" i="18"/>
  <c r="L23" i="19" l="1"/>
  <c r="L64" i="19" s="1"/>
  <c r="K64" i="19"/>
  <c r="L19" i="19"/>
  <c r="L60" i="19" s="1"/>
  <c r="K60" i="19"/>
  <c r="L15" i="19"/>
  <c r="L56" i="19" s="1"/>
  <c r="K56" i="19"/>
  <c r="L11" i="19"/>
  <c r="L52" i="19" s="1"/>
  <c r="K52" i="19"/>
  <c r="L22" i="19"/>
  <c r="L63" i="19" s="1"/>
  <c r="K63" i="19"/>
  <c r="L18" i="19"/>
  <c r="L59" i="19" s="1"/>
  <c r="K59" i="19"/>
  <c r="L14" i="19"/>
  <c r="L55" i="19" s="1"/>
  <c r="K55" i="19"/>
  <c r="L10" i="19"/>
  <c r="L51" i="19" s="1"/>
  <c r="K51" i="19"/>
  <c r="L21" i="19"/>
  <c r="L62" i="19" s="1"/>
  <c r="K62" i="19"/>
  <c r="L17" i="19"/>
  <c r="L58" i="19" s="1"/>
  <c r="K58" i="19"/>
  <c r="L13" i="19"/>
  <c r="L54" i="19" s="1"/>
  <c r="K54" i="19"/>
  <c r="L24" i="19"/>
  <c r="L65" i="19" s="1"/>
  <c r="K65" i="19"/>
  <c r="L20" i="19"/>
  <c r="L61" i="19" s="1"/>
  <c r="K61" i="19"/>
  <c r="L16" i="19"/>
  <c r="L57" i="19" s="1"/>
  <c r="K57" i="19"/>
  <c r="L12" i="19"/>
  <c r="L53" i="19" s="1"/>
  <c r="K53" i="19"/>
  <c r="J65" i="19"/>
  <c r="J25" i="19"/>
  <c r="L8" i="27"/>
  <c r="M8" i="27" s="1"/>
  <c r="F6" i="19"/>
  <c r="F4" i="19"/>
  <c r="F7" i="19"/>
  <c r="F5" i="19"/>
  <c r="I62" i="1"/>
  <c r="J66" i="19" l="1"/>
  <c r="J26" i="19"/>
  <c r="K25" i="19"/>
  <c r="M9" i="27"/>
  <c r="L38" i="27"/>
  <c r="I65" i="1"/>
  <c r="I63" i="1"/>
  <c r="I64" i="1"/>
  <c r="I66" i="1"/>
  <c r="L25" i="19" l="1"/>
  <c r="L66" i="19" s="1"/>
  <c r="K66" i="19"/>
  <c r="J67" i="19"/>
  <c r="J27" i="19"/>
  <c r="K26" i="19"/>
  <c r="F8" i="36"/>
  <c r="F9" i="36" s="1"/>
  <c r="E8" i="36"/>
  <c r="E9" i="36" s="1"/>
  <c r="D8" i="36"/>
  <c r="D9" i="36" s="1"/>
  <c r="C8" i="36"/>
  <c r="C9" i="36" s="1"/>
  <c r="Z8" i="36"/>
  <c r="Z9" i="36" s="1"/>
  <c r="Y8" i="36"/>
  <c r="Y9" i="36" s="1"/>
  <c r="X8" i="36"/>
  <c r="X9" i="36" s="1"/>
  <c r="W8" i="36"/>
  <c r="W9" i="36" s="1"/>
  <c r="V8" i="36"/>
  <c r="V9" i="36" s="1"/>
  <c r="U8" i="36"/>
  <c r="U9" i="36" s="1"/>
  <c r="T8" i="36"/>
  <c r="T9" i="36" s="1"/>
  <c r="M8" i="36"/>
  <c r="M9" i="36" s="1"/>
  <c r="AA7" i="36"/>
  <c r="S7" i="36"/>
  <c r="R7" i="36"/>
  <c r="Q7" i="36"/>
  <c r="P7" i="36"/>
  <c r="O7" i="36"/>
  <c r="N7" i="36"/>
  <c r="L7" i="36"/>
  <c r="K7" i="36"/>
  <c r="J7" i="36"/>
  <c r="I7" i="36"/>
  <c r="H7" i="36"/>
  <c r="G7" i="36"/>
  <c r="Z8" i="18"/>
  <c r="Z9" i="18" s="1"/>
  <c r="Y8" i="18"/>
  <c r="Y9" i="18" s="1"/>
  <c r="X8" i="18"/>
  <c r="X9" i="18" s="1"/>
  <c r="W8" i="18"/>
  <c r="W9" i="18" s="1"/>
  <c r="V8" i="18"/>
  <c r="V9" i="18" s="1"/>
  <c r="U9" i="18"/>
  <c r="T8" i="18"/>
  <c r="T9" i="18" s="1"/>
  <c r="M8" i="18"/>
  <c r="M9" i="18" s="1"/>
  <c r="AA7" i="18"/>
  <c r="AA4" i="18"/>
  <c r="AA3" i="18"/>
  <c r="S7" i="18"/>
  <c r="R7" i="18"/>
  <c r="Q7" i="18"/>
  <c r="P7" i="18"/>
  <c r="O7" i="18"/>
  <c r="N7" i="18"/>
  <c r="L7" i="18"/>
  <c r="K7" i="18"/>
  <c r="J7" i="18"/>
  <c r="I7" i="18"/>
  <c r="H7" i="18"/>
  <c r="G7" i="18"/>
  <c r="K5" i="18"/>
  <c r="G5" i="18"/>
  <c r="I4" i="18"/>
  <c r="L3" i="18"/>
  <c r="K3" i="18"/>
  <c r="H3" i="18"/>
  <c r="G3" i="18"/>
  <c r="A4" i="18"/>
  <c r="A5" i="18" s="1"/>
  <c r="L4" i="18"/>
  <c r="J5" i="18"/>
  <c r="AA5" i="18"/>
  <c r="L6" i="4"/>
  <c r="L5" i="4"/>
  <c r="B7" i="4"/>
  <c r="F6" i="4"/>
  <c r="G8" i="4"/>
  <c r="D12" i="4"/>
  <c r="D11" i="4"/>
  <c r="C10" i="4"/>
  <c r="B21" i="4"/>
  <c r="L26" i="19" l="1"/>
  <c r="L67" i="19" s="1"/>
  <c r="K67" i="19"/>
  <c r="J68" i="19"/>
  <c r="J28" i="19"/>
  <c r="K27" i="19"/>
  <c r="J4" i="18"/>
  <c r="H5" i="18"/>
  <c r="L5" i="18"/>
  <c r="I3" i="18"/>
  <c r="G4" i="18"/>
  <c r="K4" i="18"/>
  <c r="I5" i="18"/>
  <c r="J3" i="18"/>
  <c r="H4" i="18"/>
  <c r="B29" i="15"/>
  <c r="L27" i="19" l="1"/>
  <c r="L68" i="19" s="1"/>
  <c r="K68" i="19"/>
  <c r="J69" i="19"/>
  <c r="J29" i="19"/>
  <c r="K28" i="19"/>
  <c r="B158" i="14"/>
  <c r="B154" i="14"/>
  <c r="B128" i="14"/>
  <c r="B114" i="14"/>
  <c r="B65" i="14" s="1"/>
  <c r="B67" i="14" s="1"/>
  <c r="B101" i="14"/>
  <c r="B71" i="14" s="1"/>
  <c r="B92" i="14"/>
  <c r="B74" i="14"/>
  <c r="C5" i="7" s="1"/>
  <c r="B47" i="14"/>
  <c r="B45" i="14" s="1"/>
  <c r="B140" i="14"/>
  <c r="B126" i="14"/>
  <c r="B94" i="14"/>
  <c r="B44" i="14"/>
  <c r="B159" i="14"/>
  <c r="B155" i="14"/>
  <c r="B129" i="14"/>
  <c r="B116" i="14"/>
  <c r="B118" i="14" s="1"/>
  <c r="B119" i="14" s="1"/>
  <c r="B103" i="14"/>
  <c r="B93" i="14"/>
  <c r="B89" i="14"/>
  <c r="B157" i="14"/>
  <c r="B153" i="14"/>
  <c r="B127" i="14"/>
  <c r="B110" i="14"/>
  <c r="B111" i="14" s="1"/>
  <c r="B69" i="14" s="1"/>
  <c r="H6" i="16" s="1"/>
  <c r="B95" i="14"/>
  <c r="B91" i="14"/>
  <c r="B62" i="14"/>
  <c r="B43" i="14"/>
  <c r="B156" i="14"/>
  <c r="B109" i="14"/>
  <c r="B112" i="14" s="1"/>
  <c r="B90" i="14"/>
  <c r="B59" i="14"/>
  <c r="B49" i="14"/>
  <c r="C11" i="24"/>
  <c r="C15" i="24"/>
  <c r="C19" i="24"/>
  <c r="C23" i="24"/>
  <c r="C27" i="24"/>
  <c r="C31" i="24"/>
  <c r="C35" i="24"/>
  <c r="C39" i="24"/>
  <c r="C43" i="24"/>
  <c r="C5" i="24"/>
  <c r="C9" i="24"/>
  <c r="C13" i="24"/>
  <c r="C17" i="24"/>
  <c r="C21" i="24"/>
  <c r="C25" i="24"/>
  <c r="C29" i="24"/>
  <c r="C33" i="24"/>
  <c r="C37" i="24"/>
  <c r="C41" i="24"/>
  <c r="C6" i="24"/>
  <c r="C10" i="24"/>
  <c r="C14" i="24"/>
  <c r="C18" i="24"/>
  <c r="C22" i="24"/>
  <c r="C26" i="24"/>
  <c r="C30" i="24"/>
  <c r="C34" i="24"/>
  <c r="C38" i="24"/>
  <c r="C42" i="24"/>
  <c r="C7" i="24"/>
  <c r="C4" i="24"/>
  <c r="C8" i="24"/>
  <c r="C12" i="24"/>
  <c r="C16" i="24"/>
  <c r="C20" i="24"/>
  <c r="C24" i="24"/>
  <c r="C28" i="24"/>
  <c r="C32" i="24"/>
  <c r="C36" i="24"/>
  <c r="C40" i="24"/>
  <c r="C44" i="24"/>
  <c r="S5" i="18"/>
  <c r="O5" i="18"/>
  <c r="R5" i="18"/>
  <c r="N5" i="18"/>
  <c r="Q5" i="18"/>
  <c r="P5" i="18"/>
  <c r="S3" i="18"/>
  <c r="O3" i="18"/>
  <c r="R3" i="18"/>
  <c r="N3" i="18"/>
  <c r="Q3" i="18"/>
  <c r="P3" i="18"/>
  <c r="Q4" i="18"/>
  <c r="P4" i="18"/>
  <c r="S4" i="18"/>
  <c r="O4" i="18"/>
  <c r="R4" i="18"/>
  <c r="N4" i="18"/>
  <c r="K5" i="4"/>
  <c r="I24" i="1"/>
  <c r="I23" i="1"/>
  <c r="I22" i="1"/>
  <c r="I21" i="1"/>
  <c r="I20" i="1"/>
  <c r="I19" i="1"/>
  <c r="I18" i="1"/>
  <c r="I17" i="1"/>
  <c r="I16" i="1"/>
  <c r="I15" i="1"/>
  <c r="I14" i="1"/>
  <c r="I13" i="1"/>
  <c r="I12" i="1"/>
  <c r="I11" i="1"/>
  <c r="I10" i="1"/>
  <c r="I9" i="1"/>
  <c r="I8" i="1"/>
  <c r="I7" i="1"/>
  <c r="I6" i="1"/>
  <c r="I5" i="1"/>
  <c r="I4" i="1"/>
  <c r="I3" i="1"/>
  <c r="L28" i="19" l="1"/>
  <c r="L69" i="19" s="1"/>
  <c r="K69" i="19"/>
  <c r="J70" i="19"/>
  <c r="J30" i="19"/>
  <c r="K29" i="19"/>
  <c r="W10" i="63"/>
  <c r="I10" i="63"/>
  <c r="P10" i="63"/>
  <c r="V10" i="63"/>
  <c r="H10" i="63"/>
  <c r="O10" i="63"/>
  <c r="U10" i="63"/>
  <c r="G10" i="63"/>
  <c r="G10" i="36"/>
  <c r="N10" i="63"/>
  <c r="T10" i="63"/>
  <c r="M10" i="63"/>
  <c r="AA10" i="63"/>
  <c r="Z10" i="63"/>
  <c r="L10" i="63"/>
  <c r="S10" i="63"/>
  <c r="X10" i="63"/>
  <c r="J10" i="63"/>
  <c r="Q10" i="63"/>
  <c r="Y10" i="63"/>
  <c r="K10" i="63"/>
  <c r="R10" i="63"/>
  <c r="B40" i="14"/>
  <c r="B96" i="14"/>
  <c r="B6" i="5"/>
  <c r="L29" i="19" l="1"/>
  <c r="L70" i="19" s="1"/>
  <c r="K70" i="19"/>
  <c r="J71" i="19"/>
  <c r="J31" i="19"/>
  <c r="K30" i="19"/>
  <c r="AB10" i="63"/>
  <c r="B7" i="5"/>
  <c r="E3" i="8"/>
  <c r="B98" i="14"/>
  <c r="B70" i="14" s="1"/>
  <c r="S6" i="16" s="1"/>
  <c r="K5" i="7"/>
  <c r="C6" i="5"/>
  <c r="B8" i="5"/>
  <c r="D4" i="12"/>
  <c r="D5" i="12" s="1"/>
  <c r="D6" i="12" s="1"/>
  <c r="D7" i="12" s="1"/>
  <c r="D8" i="12" s="1"/>
  <c r="D9" i="12" s="1"/>
  <c r="D10" i="12" s="1"/>
  <c r="D11" i="12" s="1"/>
  <c r="D12" i="12" s="1"/>
  <c r="D13" i="12" s="1"/>
  <c r="D14" i="12" s="1"/>
  <c r="D15" i="12" s="1"/>
  <c r="D16" i="12" s="1"/>
  <c r="D17" i="12" s="1"/>
  <c r="D18" i="12" s="1"/>
  <c r="D19" i="12" s="1"/>
  <c r="D20" i="12" s="1"/>
  <c r="D21" i="12" s="1"/>
  <c r="D22" i="12" s="1"/>
  <c r="D23" i="12" s="1"/>
  <c r="D24" i="12" s="1"/>
  <c r="D25" i="12" s="1"/>
  <c r="D26" i="12" s="1"/>
  <c r="D27" i="12" s="1"/>
  <c r="D28" i="12" s="1"/>
  <c r="D29" i="12" s="1"/>
  <c r="D30" i="12" s="1"/>
  <c r="D31" i="12" s="1"/>
  <c r="D32" i="12" s="1"/>
  <c r="D33" i="12" s="1"/>
  <c r="D34" i="12" s="1"/>
  <c r="D35" i="12" s="1"/>
  <c r="D36" i="12" s="1"/>
  <c r="D37" i="12" s="1"/>
  <c r="D38" i="12" s="1"/>
  <c r="E4" i="8"/>
  <c r="E5" i="8" s="1"/>
  <c r="E6" i="8" s="1"/>
  <c r="E7" i="8" s="1"/>
  <c r="E8" i="8" s="1"/>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B9" i="5"/>
  <c r="L30" i="19" l="1"/>
  <c r="L71" i="19" s="1"/>
  <c r="K71" i="19"/>
  <c r="J72" i="19"/>
  <c r="J32" i="19"/>
  <c r="K31" i="19"/>
  <c r="B37" i="63"/>
  <c r="B24" i="63"/>
  <c r="B39" i="63"/>
  <c r="B38" i="63"/>
  <c r="B25" i="63"/>
  <c r="B17" i="63"/>
  <c r="B36" i="63"/>
  <c r="B22" i="63"/>
  <c r="B33" i="63"/>
  <c r="B20" i="63"/>
  <c r="B35" i="63"/>
  <c r="B34" i="63"/>
  <c r="B23" i="63"/>
  <c r="B15" i="63"/>
  <c r="B32" i="63"/>
  <c r="B18" i="63"/>
  <c r="B29" i="63"/>
  <c r="B16" i="63"/>
  <c r="B31" i="63"/>
  <c r="B30" i="63"/>
  <c r="B21" i="63"/>
  <c r="B13" i="63"/>
  <c r="B28" i="63"/>
  <c r="B14" i="63"/>
  <c r="C14" i="63" s="1"/>
  <c r="D14" i="63" s="1"/>
  <c r="E14" i="63" s="1"/>
  <c r="B41" i="63"/>
  <c r="B40" i="63"/>
  <c r="B43" i="63"/>
  <c r="B42" i="63"/>
  <c r="B27" i="63"/>
  <c r="B19" i="63"/>
  <c r="B44" i="63"/>
  <c r="B26" i="63"/>
  <c r="W3" i="12"/>
  <c r="W4" i="12" s="1"/>
  <c r="W5" i="12" s="1"/>
  <c r="W6" i="12" s="1"/>
  <c r="W7" i="12" s="1"/>
  <c r="W8" i="12" s="1"/>
  <c r="V3" i="8"/>
  <c r="V4" i="8" s="1"/>
  <c r="V5" i="8" s="1"/>
  <c r="V6" i="8" s="1"/>
  <c r="V7" i="8" s="1"/>
  <c r="V8" i="8" s="1"/>
  <c r="V9" i="8" s="1"/>
  <c r="F4" i="12"/>
  <c r="F5" i="12" s="1"/>
  <c r="F6" i="12" s="1"/>
  <c r="F7" i="12" s="1"/>
  <c r="F8" i="12" s="1"/>
  <c r="F9" i="12" s="1"/>
  <c r="F10" i="12" s="1"/>
  <c r="F11" i="12" s="1"/>
  <c r="F12" i="12" s="1"/>
  <c r="F13" i="12" s="1"/>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E4" i="12"/>
  <c r="E5" i="12" s="1"/>
  <c r="E6" i="12" s="1"/>
  <c r="E7" i="12" s="1"/>
  <c r="E8" i="12" s="1"/>
  <c r="E9" i="12" s="1"/>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E33" i="12" s="1"/>
  <c r="E34" i="12" s="1"/>
  <c r="E35" i="12" s="1"/>
  <c r="E36" i="12" s="1"/>
  <c r="E37" i="12" s="1"/>
  <c r="E38" i="12" s="1"/>
  <c r="B17" i="5"/>
  <c r="F3" i="8"/>
  <c r="F4" i="8" s="1"/>
  <c r="F5" i="8" s="1"/>
  <c r="F6" i="8" s="1"/>
  <c r="F7" i="8" s="1"/>
  <c r="F8" i="8" s="1"/>
  <c r="F9" i="8" s="1"/>
  <c r="F5" i="7" s="1"/>
  <c r="G9" i="8"/>
  <c r="G5" i="7" s="1"/>
  <c r="H5" i="7" s="1"/>
  <c r="I5" i="7" s="1"/>
  <c r="C7" i="5"/>
  <c r="C9" i="5"/>
  <c r="Y3" i="12" s="1"/>
  <c r="Y4" i="12" s="1"/>
  <c r="Y5" i="12" s="1"/>
  <c r="Y6" i="12" s="1"/>
  <c r="Y7" i="12" s="1"/>
  <c r="Y8" i="12" s="1"/>
  <c r="C8" i="5"/>
  <c r="D6" i="5"/>
  <c r="D26" i="63" l="1"/>
  <c r="C62" i="63"/>
  <c r="D42" i="63"/>
  <c r="C78" i="63"/>
  <c r="D30" i="63"/>
  <c r="C66" i="63"/>
  <c r="D18" i="63"/>
  <c r="C54" i="63"/>
  <c r="D34" i="63"/>
  <c r="C70" i="63"/>
  <c r="D22" i="63"/>
  <c r="C58" i="63"/>
  <c r="D38" i="63"/>
  <c r="C74" i="63"/>
  <c r="D44" i="63"/>
  <c r="C80" i="63"/>
  <c r="D43" i="63"/>
  <c r="C79" i="63"/>
  <c r="D28" i="63"/>
  <c r="C64" i="63"/>
  <c r="D31" i="63"/>
  <c r="C67" i="63"/>
  <c r="D32" i="63"/>
  <c r="C68" i="63"/>
  <c r="D35" i="63"/>
  <c r="C71" i="63"/>
  <c r="D36" i="63"/>
  <c r="C72" i="63"/>
  <c r="D39" i="63"/>
  <c r="C75" i="63"/>
  <c r="D19" i="63"/>
  <c r="C55" i="63"/>
  <c r="D40" i="63"/>
  <c r="C76" i="63"/>
  <c r="D16" i="63"/>
  <c r="C52" i="63"/>
  <c r="D15" i="63"/>
  <c r="C51" i="63"/>
  <c r="D20" i="63"/>
  <c r="C56" i="63"/>
  <c r="D17" i="63"/>
  <c r="C53" i="63"/>
  <c r="D24" i="63"/>
  <c r="C60" i="63"/>
  <c r="D27" i="63"/>
  <c r="C63" i="63"/>
  <c r="D41" i="63"/>
  <c r="C77" i="63"/>
  <c r="D21" i="63"/>
  <c r="C57" i="63"/>
  <c r="D29" i="63"/>
  <c r="C65" i="63"/>
  <c r="D23" i="63"/>
  <c r="C59" i="63"/>
  <c r="D33" i="63"/>
  <c r="C69" i="63"/>
  <c r="D25" i="63"/>
  <c r="C61" i="63"/>
  <c r="D37" i="63"/>
  <c r="C73" i="63"/>
  <c r="P7" i="27"/>
  <c r="E50" i="63"/>
  <c r="J73" i="19"/>
  <c r="J33" i="19"/>
  <c r="K32" i="19"/>
  <c r="L31" i="19"/>
  <c r="L72" i="19" s="1"/>
  <c r="K72" i="19"/>
  <c r="B45" i="63"/>
  <c r="C13" i="63"/>
  <c r="C45" i="63" s="1"/>
  <c r="C81" i="63" s="1"/>
  <c r="D13" i="63"/>
  <c r="N9" i="8"/>
  <c r="AM3" i="8"/>
  <c r="AM4" i="8" s="1"/>
  <c r="AM5" i="8" s="1"/>
  <c r="AM6" i="8" s="1"/>
  <c r="AM7" i="8" s="1"/>
  <c r="AM8" i="8" s="1"/>
  <c r="AP3" i="12"/>
  <c r="AP4" i="12" s="1"/>
  <c r="AP5" i="12" s="1"/>
  <c r="AP6" i="12" s="1"/>
  <c r="AP7" i="12" s="1"/>
  <c r="AP8" i="12" s="1"/>
  <c r="AP9" i="12" s="1"/>
  <c r="AP10" i="12" s="1"/>
  <c r="AP11" i="12" s="1"/>
  <c r="AP12" i="12" s="1"/>
  <c r="AP13" i="12" s="1"/>
  <c r="AP14" i="12" s="1"/>
  <c r="AP15" i="12" s="1"/>
  <c r="AP16" i="12" s="1"/>
  <c r="AP17" i="12" s="1"/>
  <c r="AP18" i="12" s="1"/>
  <c r="AP19" i="12" s="1"/>
  <c r="AP20" i="12" s="1"/>
  <c r="AP21" i="12" s="1"/>
  <c r="AP22" i="12" s="1"/>
  <c r="AP23" i="12" s="1"/>
  <c r="AP24" i="12" s="1"/>
  <c r="AP25" i="12" s="1"/>
  <c r="AP26" i="12" s="1"/>
  <c r="AP27" i="12" s="1"/>
  <c r="AP28" i="12" s="1"/>
  <c r="AP29" i="12" s="1"/>
  <c r="AP30" i="12" s="1"/>
  <c r="AP31" i="12" s="1"/>
  <c r="AP32" i="12" s="1"/>
  <c r="AP33" i="12" s="1"/>
  <c r="AP34" i="12" s="1"/>
  <c r="AP35" i="12" s="1"/>
  <c r="AP36" i="12" s="1"/>
  <c r="AP37" i="12" s="1"/>
  <c r="AP38" i="12" s="1"/>
  <c r="F10" i="8"/>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F34" i="8" s="1"/>
  <c r="F35" i="8" s="1"/>
  <c r="F36" i="8" s="1"/>
  <c r="F37" i="8" s="1"/>
  <c r="F38" i="8" s="1"/>
  <c r="X3" i="12"/>
  <c r="X4" i="12" s="1"/>
  <c r="X5" i="12" s="1"/>
  <c r="X6" i="12" s="1"/>
  <c r="X7" i="12" s="1"/>
  <c r="X8" i="12" s="1"/>
  <c r="C10" i="5"/>
  <c r="W3" i="8"/>
  <c r="W4" i="8" s="1"/>
  <c r="W5" i="8" s="1"/>
  <c r="W6" i="8" s="1"/>
  <c r="W7" i="8" s="1"/>
  <c r="W8" i="8" s="1"/>
  <c r="J5" i="7"/>
  <c r="J44" i="7" s="1"/>
  <c r="Y9" i="12"/>
  <c r="BK9" i="12" s="1"/>
  <c r="W9" i="12"/>
  <c r="BI9" i="12" s="1"/>
  <c r="V10" i="8"/>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Q9" i="8"/>
  <c r="H9" i="8"/>
  <c r="D8" i="5"/>
  <c r="AQ3" i="12" s="1"/>
  <c r="AQ4" i="12" s="1"/>
  <c r="AQ5" i="12" s="1"/>
  <c r="AQ6" i="12" s="1"/>
  <c r="AQ7" i="12" s="1"/>
  <c r="AQ8" i="12" s="1"/>
  <c r="AQ9" i="12" s="1"/>
  <c r="D7" i="5"/>
  <c r="D9" i="5"/>
  <c r="AR3" i="12" s="1"/>
  <c r="AR4" i="12" s="1"/>
  <c r="AR5" i="12" s="1"/>
  <c r="AR6" i="12" s="1"/>
  <c r="AR7" i="12" s="1"/>
  <c r="AR8" i="12" s="1"/>
  <c r="AR9" i="12" s="1"/>
  <c r="AR10" i="12" s="1"/>
  <c r="AR11" i="12" s="1"/>
  <c r="AR12" i="12" s="1"/>
  <c r="AR13" i="12" s="1"/>
  <c r="AR14" i="12" s="1"/>
  <c r="AR15" i="12" s="1"/>
  <c r="AR16" i="12" s="1"/>
  <c r="AR17" i="12" s="1"/>
  <c r="AR18" i="12" s="1"/>
  <c r="AR19" i="12" s="1"/>
  <c r="AR20" i="12" s="1"/>
  <c r="AR21" i="12" s="1"/>
  <c r="AR22" i="12" s="1"/>
  <c r="AR23" i="12" s="1"/>
  <c r="AR24" i="12" s="1"/>
  <c r="AR25" i="12" s="1"/>
  <c r="AR26" i="12" s="1"/>
  <c r="AR27" i="12" s="1"/>
  <c r="AR28" i="12" s="1"/>
  <c r="AR29" i="12" s="1"/>
  <c r="AR30" i="12" s="1"/>
  <c r="AR31" i="12" s="1"/>
  <c r="AR32" i="12" s="1"/>
  <c r="AR33" i="12" s="1"/>
  <c r="AR34" i="12" s="1"/>
  <c r="AR35" i="12" s="1"/>
  <c r="AR36" i="12" s="1"/>
  <c r="AR37" i="12" s="1"/>
  <c r="AR38" i="12" s="1"/>
  <c r="C21" i="5"/>
  <c r="C25" i="5" s="1"/>
  <c r="C17" i="5"/>
  <c r="C18" i="5"/>
  <c r="C13" i="5"/>
  <c r="C22" i="5" s="1"/>
  <c r="E25" i="63" l="1"/>
  <c r="D61" i="63"/>
  <c r="E23" i="63"/>
  <c r="D59" i="63"/>
  <c r="E21" i="63"/>
  <c r="D57" i="63"/>
  <c r="E27" i="63"/>
  <c r="D63" i="63"/>
  <c r="E17" i="63"/>
  <c r="D53" i="63"/>
  <c r="E15" i="63"/>
  <c r="D51" i="63"/>
  <c r="E40" i="63"/>
  <c r="D76" i="63"/>
  <c r="E39" i="63"/>
  <c r="D75" i="63"/>
  <c r="E35" i="63"/>
  <c r="D71" i="63"/>
  <c r="E31" i="63"/>
  <c r="D67" i="63"/>
  <c r="E43" i="63"/>
  <c r="D79" i="63"/>
  <c r="E38" i="63"/>
  <c r="D74" i="63"/>
  <c r="E34" i="63"/>
  <c r="D70" i="63"/>
  <c r="E30" i="63"/>
  <c r="D66" i="63"/>
  <c r="E26" i="63"/>
  <c r="D62" i="63"/>
  <c r="E37" i="63"/>
  <c r="D73" i="63"/>
  <c r="E33" i="63"/>
  <c r="D69" i="63"/>
  <c r="E29" i="63"/>
  <c r="D65" i="63"/>
  <c r="E41" i="63"/>
  <c r="D77" i="63"/>
  <c r="E24" i="63"/>
  <c r="D60" i="63"/>
  <c r="E20" i="63"/>
  <c r="D56" i="63"/>
  <c r="E16" i="63"/>
  <c r="D52" i="63"/>
  <c r="E19" i="63"/>
  <c r="D55" i="63"/>
  <c r="E36" i="63"/>
  <c r="D72" i="63"/>
  <c r="E32" i="63"/>
  <c r="D68" i="63"/>
  <c r="E28" i="63"/>
  <c r="D64" i="63"/>
  <c r="E44" i="63"/>
  <c r="D80" i="63"/>
  <c r="E22" i="63"/>
  <c r="D58" i="63"/>
  <c r="E18" i="63"/>
  <c r="D54" i="63"/>
  <c r="E42" i="63"/>
  <c r="D78" i="63"/>
  <c r="L32" i="19"/>
  <c r="L73" i="19" s="1"/>
  <c r="K73" i="19"/>
  <c r="J74" i="19"/>
  <c r="J34" i="19"/>
  <c r="K33" i="19"/>
  <c r="E13" i="63"/>
  <c r="E49" i="63" s="1"/>
  <c r="D45" i="63"/>
  <c r="D81" i="63" s="1"/>
  <c r="N12" i="8"/>
  <c r="H12" i="8" s="1"/>
  <c r="AN3" i="8"/>
  <c r="AN4" i="8" s="1"/>
  <c r="AN5" i="8" s="1"/>
  <c r="AN6" i="8" s="1"/>
  <c r="AN7" i="8" s="1"/>
  <c r="AN8" i="8" s="1"/>
  <c r="AN9" i="8" s="1"/>
  <c r="AN10" i="8" s="1"/>
  <c r="AN11" i="8" s="1"/>
  <c r="AN12" i="8" s="1"/>
  <c r="AN13" i="8" s="1"/>
  <c r="AN14" i="8" s="1"/>
  <c r="AN15" i="8" s="1"/>
  <c r="AN16" i="8" s="1"/>
  <c r="AN17" i="8" s="1"/>
  <c r="AN18" i="8" s="1"/>
  <c r="AN19" i="8" s="1"/>
  <c r="AN20" i="8" s="1"/>
  <c r="AN21" i="8" s="1"/>
  <c r="AN22" i="8" s="1"/>
  <c r="AN23" i="8" s="1"/>
  <c r="AN24" i="8" s="1"/>
  <c r="AN25" i="8" s="1"/>
  <c r="AN26" i="8" s="1"/>
  <c r="AN27" i="8" s="1"/>
  <c r="AN28" i="8" s="1"/>
  <c r="AN29" i="8" s="1"/>
  <c r="AN30" i="8" s="1"/>
  <c r="AN31" i="8" s="1"/>
  <c r="AN32" i="8" s="1"/>
  <c r="AN33" i="8" s="1"/>
  <c r="AN34" i="8" s="1"/>
  <c r="AN35" i="8" s="1"/>
  <c r="AN36" i="8" s="1"/>
  <c r="AN37" i="8" s="1"/>
  <c r="AN38" i="8" s="1"/>
  <c r="D17" i="5"/>
  <c r="G13" i="8"/>
  <c r="AS9" i="12"/>
  <c r="AQ10" i="12"/>
  <c r="AQ11" i="12" s="1"/>
  <c r="AQ12" i="12" s="1"/>
  <c r="AQ13" i="12" s="1"/>
  <c r="AQ14" i="12" s="1"/>
  <c r="AQ15" i="12" s="1"/>
  <c r="AQ16" i="12" s="1"/>
  <c r="AQ17" i="12" s="1"/>
  <c r="AQ18" i="12" s="1"/>
  <c r="AQ19" i="12" s="1"/>
  <c r="AQ20" i="12" s="1"/>
  <c r="AQ21" i="12" s="1"/>
  <c r="AQ22" i="12" s="1"/>
  <c r="AQ23" i="12" s="1"/>
  <c r="AQ24" i="12" s="1"/>
  <c r="AQ25" i="12" s="1"/>
  <c r="AQ26" i="12" s="1"/>
  <c r="AQ27" i="12" s="1"/>
  <c r="AQ28" i="12" s="1"/>
  <c r="AQ29" i="12" s="1"/>
  <c r="AQ30" i="12" s="1"/>
  <c r="AQ31" i="12" s="1"/>
  <c r="AQ32" i="12" s="1"/>
  <c r="AQ33" i="12" s="1"/>
  <c r="AQ34" i="12" s="1"/>
  <c r="AQ35" i="12" s="1"/>
  <c r="AQ36" i="12" s="1"/>
  <c r="AQ37" i="12" s="1"/>
  <c r="AQ38" i="12" s="1"/>
  <c r="Y10" i="12"/>
  <c r="Y11" i="12" s="1"/>
  <c r="Y12" i="12" s="1"/>
  <c r="Y13" i="12" s="1"/>
  <c r="Y14" i="12" s="1"/>
  <c r="Y15" i="12" s="1"/>
  <c r="Y16" i="12" s="1"/>
  <c r="Y17" i="12" s="1"/>
  <c r="Y18" i="12" s="1"/>
  <c r="Y19" i="12" s="1"/>
  <c r="Y20" i="12" s="1"/>
  <c r="Y21" i="12" s="1"/>
  <c r="Y22" i="12" s="1"/>
  <c r="Y23" i="12" s="1"/>
  <c r="Y24" i="12" s="1"/>
  <c r="Y25" i="12" s="1"/>
  <c r="Y26" i="12" s="1"/>
  <c r="Y27" i="12" s="1"/>
  <c r="Y28" i="12" s="1"/>
  <c r="Y29" i="12" s="1"/>
  <c r="Y30" i="12" s="1"/>
  <c r="Y31" i="12" s="1"/>
  <c r="Y32" i="12" s="1"/>
  <c r="Y33" i="12" s="1"/>
  <c r="Y34" i="12" s="1"/>
  <c r="Y35" i="12" s="1"/>
  <c r="Y36" i="12" s="1"/>
  <c r="Y37" i="12" s="1"/>
  <c r="Y38" i="12" s="1"/>
  <c r="X9" i="12"/>
  <c r="X10" i="12" s="1"/>
  <c r="X11" i="12" s="1"/>
  <c r="X12" i="12" s="1"/>
  <c r="X13" i="12" s="1"/>
  <c r="X14" i="12" s="1"/>
  <c r="X15" i="12" s="1"/>
  <c r="X16" i="12" s="1"/>
  <c r="X17" i="12" s="1"/>
  <c r="X18" i="12" s="1"/>
  <c r="X19" i="12" s="1"/>
  <c r="X20" i="12" s="1"/>
  <c r="X21" i="12" s="1"/>
  <c r="X22" i="12" s="1"/>
  <c r="X23" i="12" s="1"/>
  <c r="X24" i="12" s="1"/>
  <c r="X25" i="12" s="1"/>
  <c r="X26" i="12" s="1"/>
  <c r="X27" i="12" s="1"/>
  <c r="X28" i="12" s="1"/>
  <c r="X29" i="12" s="1"/>
  <c r="X30" i="12" s="1"/>
  <c r="X31" i="12" s="1"/>
  <c r="X32" i="12" s="1"/>
  <c r="X33" i="12" s="1"/>
  <c r="X34" i="12" s="1"/>
  <c r="X35" i="12" s="1"/>
  <c r="X36" i="12" s="1"/>
  <c r="X37" i="12" s="1"/>
  <c r="X38" i="12" s="1"/>
  <c r="W10" i="12"/>
  <c r="W11" i="12" s="1"/>
  <c r="W12" i="12" s="1"/>
  <c r="W13" i="12" s="1"/>
  <c r="W14" i="12" s="1"/>
  <c r="W15" i="12" s="1"/>
  <c r="W16" i="12" s="1"/>
  <c r="W17" i="12" s="1"/>
  <c r="W18" i="12" s="1"/>
  <c r="W19" i="12" s="1"/>
  <c r="W20" i="12" s="1"/>
  <c r="W21" i="12" s="1"/>
  <c r="W22" i="12" s="1"/>
  <c r="W23" i="12" s="1"/>
  <c r="W24" i="12" s="1"/>
  <c r="W25" i="12" s="1"/>
  <c r="W26" i="12" s="1"/>
  <c r="W27" i="12" s="1"/>
  <c r="W28" i="12" s="1"/>
  <c r="W29" i="12" s="1"/>
  <c r="W30" i="12" s="1"/>
  <c r="W31" i="12" s="1"/>
  <c r="W32" i="12" s="1"/>
  <c r="W33" i="12" s="1"/>
  <c r="W34" i="12" s="1"/>
  <c r="W35" i="12" s="1"/>
  <c r="W36" i="12" s="1"/>
  <c r="W37" i="12" s="1"/>
  <c r="W38" i="12" s="1"/>
  <c r="AM9" i="8"/>
  <c r="BD9" i="8" s="1"/>
  <c r="K9" i="8"/>
  <c r="W9" i="8"/>
  <c r="W10" i="8" s="1"/>
  <c r="X10" i="8" s="1"/>
  <c r="P11" i="27" l="1"/>
  <c r="E54" i="63"/>
  <c r="P37" i="27"/>
  <c r="Q37" i="27" s="1"/>
  <c r="E80" i="63"/>
  <c r="P25" i="27"/>
  <c r="E68" i="63"/>
  <c r="P12" i="27"/>
  <c r="E55" i="63"/>
  <c r="P13" i="27"/>
  <c r="E56" i="63"/>
  <c r="P34" i="27"/>
  <c r="Q34" i="27" s="1"/>
  <c r="E77" i="63"/>
  <c r="P26" i="27"/>
  <c r="E69" i="63"/>
  <c r="P19" i="27"/>
  <c r="E62" i="63"/>
  <c r="P27" i="27"/>
  <c r="E70" i="63"/>
  <c r="P36" i="27"/>
  <c r="Q36" i="27" s="1"/>
  <c r="E79" i="63"/>
  <c r="P28" i="27"/>
  <c r="Q28" i="27" s="1"/>
  <c r="E71" i="63"/>
  <c r="P33" i="27"/>
  <c r="Q33" i="27" s="1"/>
  <c r="E76" i="63"/>
  <c r="P10" i="27"/>
  <c r="E53" i="63"/>
  <c r="P14" i="27"/>
  <c r="E57" i="63"/>
  <c r="P18" i="27"/>
  <c r="E61" i="63"/>
  <c r="P35" i="27"/>
  <c r="Q35" i="27" s="1"/>
  <c r="E78" i="63"/>
  <c r="P15" i="27"/>
  <c r="E58" i="63"/>
  <c r="P21" i="27"/>
  <c r="E64" i="63"/>
  <c r="P29" i="27"/>
  <c r="Q29" i="27" s="1"/>
  <c r="E72" i="63"/>
  <c r="P9" i="27"/>
  <c r="E52" i="63"/>
  <c r="P17" i="27"/>
  <c r="E60" i="63"/>
  <c r="P22" i="27"/>
  <c r="E65" i="63"/>
  <c r="P30" i="27"/>
  <c r="Q30" i="27" s="1"/>
  <c r="E73" i="63"/>
  <c r="P23" i="27"/>
  <c r="E66" i="63"/>
  <c r="P31" i="27"/>
  <c r="Q31" i="27" s="1"/>
  <c r="E74" i="63"/>
  <c r="P24" i="27"/>
  <c r="E67" i="63"/>
  <c r="P32" i="27"/>
  <c r="Q32" i="27" s="1"/>
  <c r="E75" i="63"/>
  <c r="P8" i="27"/>
  <c r="E51" i="63"/>
  <c r="P20" i="27"/>
  <c r="E63" i="63"/>
  <c r="P16" i="27"/>
  <c r="E59" i="63"/>
  <c r="L33" i="19"/>
  <c r="L74" i="19" s="1"/>
  <c r="K74" i="19"/>
  <c r="J75" i="19"/>
  <c r="K34" i="19"/>
  <c r="J35" i="19"/>
  <c r="P6" i="27"/>
  <c r="E45" i="63"/>
  <c r="E81" i="63" s="1"/>
  <c r="AT9" i="12"/>
  <c r="BA9" i="12"/>
  <c r="AM10" i="8"/>
  <c r="AM11" i="8" s="1"/>
  <c r="AM12" i="8" s="1"/>
  <c r="AM13" i="8" s="1"/>
  <c r="AM14" i="8" s="1"/>
  <c r="AM15" i="8" s="1"/>
  <c r="AM16" i="8" s="1"/>
  <c r="AM17" i="8" s="1"/>
  <c r="AM18" i="8" s="1"/>
  <c r="AM19" i="8" s="1"/>
  <c r="AM20" i="8" s="1"/>
  <c r="AM21" i="8" s="1"/>
  <c r="AM22" i="8" s="1"/>
  <c r="AM23" i="8" s="1"/>
  <c r="AM24" i="8" s="1"/>
  <c r="AM25" i="8" s="1"/>
  <c r="AM26" i="8" s="1"/>
  <c r="AM27" i="8" s="1"/>
  <c r="AM28" i="8" s="1"/>
  <c r="AM29" i="8" s="1"/>
  <c r="AM30" i="8" s="1"/>
  <c r="AM31" i="8" s="1"/>
  <c r="AM32" i="8" s="1"/>
  <c r="AM33" i="8" s="1"/>
  <c r="AM34" i="8" s="1"/>
  <c r="AM35" i="8" s="1"/>
  <c r="AM36" i="8" s="1"/>
  <c r="AM37" i="8" s="1"/>
  <c r="AM38" i="8" s="1"/>
  <c r="Z9" i="12"/>
  <c r="BJ9" i="12"/>
  <c r="AO9" i="8"/>
  <c r="AV9" i="8"/>
  <c r="W11" i="8"/>
  <c r="W12" i="8" s="1"/>
  <c r="W13" i="8" s="1"/>
  <c r="W14" i="8" s="1"/>
  <c r="W15" i="8" s="1"/>
  <c r="W16" i="8" s="1"/>
  <c r="W17" i="8" s="1"/>
  <c r="W18" i="8" s="1"/>
  <c r="W19" i="8" s="1"/>
  <c r="W20" i="8" s="1"/>
  <c r="W21" i="8" s="1"/>
  <c r="W22" i="8" s="1"/>
  <c r="W23" i="8" s="1"/>
  <c r="W24" i="8" s="1"/>
  <c r="W25" i="8" s="1"/>
  <c r="W26" i="8" s="1"/>
  <c r="W27" i="8" s="1"/>
  <c r="W28" i="8" s="1"/>
  <c r="W29" i="8" s="1"/>
  <c r="W30" i="8" s="1"/>
  <c r="W31" i="8" s="1"/>
  <c r="W32" i="8" s="1"/>
  <c r="W33" i="8" s="1"/>
  <c r="W34" i="8" s="1"/>
  <c r="W35" i="8" s="1"/>
  <c r="W36" i="8" s="1"/>
  <c r="W37" i="8" s="1"/>
  <c r="W38" i="8" s="1"/>
  <c r="BE9" i="8"/>
  <c r="AE9" i="8"/>
  <c r="X9" i="8"/>
  <c r="H7" i="4"/>
  <c r="BF3" i="8"/>
  <c r="B4" i="19" s="1"/>
  <c r="BJ3" i="8"/>
  <c r="BK3" i="8"/>
  <c r="BL3" i="8"/>
  <c r="BP3" i="8"/>
  <c r="BQ3" i="8"/>
  <c r="BR3" i="8"/>
  <c r="BF4" i="8"/>
  <c r="B5" i="19" s="1"/>
  <c r="BJ4" i="8"/>
  <c r="BK4" i="8"/>
  <c r="BL4" i="8"/>
  <c r="BP4" i="8"/>
  <c r="BQ4" i="8"/>
  <c r="BR4" i="8"/>
  <c r="BF5" i="8"/>
  <c r="B6" i="19" s="1"/>
  <c r="BJ5" i="8"/>
  <c r="BK5" i="8"/>
  <c r="BL5" i="8"/>
  <c r="BP5" i="8"/>
  <c r="BQ5" i="8"/>
  <c r="BR5" i="8"/>
  <c r="BF6" i="8"/>
  <c r="B7" i="19" s="1"/>
  <c r="BJ6" i="8"/>
  <c r="BK6" i="8"/>
  <c r="BL6" i="8"/>
  <c r="BP6" i="8"/>
  <c r="BQ6" i="8"/>
  <c r="BR6" i="8"/>
  <c r="BF7" i="8"/>
  <c r="B8" i="19" s="1"/>
  <c r="BJ7" i="8"/>
  <c r="BK7" i="8"/>
  <c r="BL7" i="8"/>
  <c r="BP7" i="8"/>
  <c r="BQ7" i="8"/>
  <c r="BR7" i="8"/>
  <c r="BF8" i="8"/>
  <c r="B9" i="19" s="1"/>
  <c r="BJ8" i="8"/>
  <c r="BK8" i="8"/>
  <c r="BL8" i="8"/>
  <c r="BP8" i="8"/>
  <c r="BQ8" i="8"/>
  <c r="BR8" i="8"/>
  <c r="E3" i="32"/>
  <c r="J76" i="19" l="1"/>
  <c r="J36" i="19"/>
  <c r="K35" i="19"/>
  <c r="L34" i="19"/>
  <c r="L75" i="19" s="1"/>
  <c r="K75" i="19"/>
  <c r="P3" i="32"/>
  <c r="Q3" i="32" s="1"/>
  <c r="BF9" i="8"/>
  <c r="B10" i="19" s="1"/>
  <c r="AU9" i="12"/>
  <c r="BD9" i="12"/>
  <c r="AX9" i="12" s="1"/>
  <c r="BM9" i="8"/>
  <c r="Y9" i="8"/>
  <c r="AH9" i="8"/>
  <c r="AY9" i="8"/>
  <c r="AS9" i="8" s="1"/>
  <c r="AP9" i="8"/>
  <c r="F3" i="32"/>
  <c r="F42" i="32" s="1"/>
  <c r="H9" i="30"/>
  <c r="H17" i="30"/>
  <c r="H21" i="30"/>
  <c r="H25" i="30"/>
  <c r="H29" i="30"/>
  <c r="H33" i="30"/>
  <c r="H10" i="30"/>
  <c r="H18" i="30"/>
  <c r="H26" i="30"/>
  <c r="H30" i="30"/>
  <c r="H8" i="30"/>
  <c r="H12" i="30"/>
  <c r="H16" i="30"/>
  <c r="H20" i="30"/>
  <c r="H24" i="30"/>
  <c r="H28" i="30"/>
  <c r="H32" i="30"/>
  <c r="H13" i="30"/>
  <c r="H6" i="30"/>
  <c r="H14" i="30"/>
  <c r="H22" i="30"/>
  <c r="H34" i="30"/>
  <c r="H7" i="30"/>
  <c r="H11" i="30"/>
  <c r="H15" i="30"/>
  <c r="H19" i="30"/>
  <c r="H23" i="30"/>
  <c r="H27" i="30"/>
  <c r="H31" i="30"/>
  <c r="L35" i="19" l="1"/>
  <c r="L76" i="19" s="1"/>
  <c r="K76" i="19"/>
  <c r="J77" i="19"/>
  <c r="J37" i="19"/>
  <c r="K36" i="19"/>
  <c r="BG9" i="8"/>
  <c r="AB9" i="8"/>
  <c r="BJ9" i="8" s="1"/>
  <c r="BP9" i="8"/>
  <c r="C37" i="32"/>
  <c r="H36" i="32"/>
  <c r="I36" i="32" s="1"/>
  <c r="I75" i="32" s="1"/>
  <c r="H33" i="32"/>
  <c r="I33" i="32" s="1"/>
  <c r="I72" i="32" s="1"/>
  <c r="H32" i="32"/>
  <c r="I32" i="32" s="1"/>
  <c r="I71" i="32" s="1"/>
  <c r="H31" i="32"/>
  <c r="I31" i="32" s="1"/>
  <c r="I70" i="32" s="1"/>
  <c r="H30" i="32"/>
  <c r="I30" i="32" s="1"/>
  <c r="I69" i="32" s="1"/>
  <c r="H28" i="32"/>
  <c r="I28" i="32" s="1"/>
  <c r="I67" i="32" s="1"/>
  <c r="H27" i="32"/>
  <c r="I27" i="32" s="1"/>
  <c r="I66" i="32" s="1"/>
  <c r="H26" i="32"/>
  <c r="I26" i="32" s="1"/>
  <c r="I65" i="32" s="1"/>
  <c r="H25" i="32"/>
  <c r="I25" i="32" s="1"/>
  <c r="I64" i="32" s="1"/>
  <c r="H23" i="32"/>
  <c r="I23" i="32" s="1"/>
  <c r="I62" i="32" s="1"/>
  <c r="H22" i="32"/>
  <c r="I22" i="32" s="1"/>
  <c r="I61" i="32" s="1"/>
  <c r="H21" i="32"/>
  <c r="I21" i="32" s="1"/>
  <c r="I60" i="32" s="1"/>
  <c r="H20" i="32"/>
  <c r="I20" i="32" s="1"/>
  <c r="I59" i="32" s="1"/>
  <c r="H18" i="32"/>
  <c r="I18" i="32" s="1"/>
  <c r="I57" i="32" s="1"/>
  <c r="H17" i="32"/>
  <c r="H16" i="32"/>
  <c r="I16" i="32" s="1"/>
  <c r="I55" i="32" s="1"/>
  <c r="H15" i="32"/>
  <c r="I15" i="32" s="1"/>
  <c r="I54" i="32" s="1"/>
  <c r="H13" i="32"/>
  <c r="I13" i="32" s="1"/>
  <c r="I52" i="32" s="1"/>
  <c r="H12" i="32"/>
  <c r="I12" i="32" s="1"/>
  <c r="I51" i="32" s="1"/>
  <c r="H11" i="32"/>
  <c r="I11" i="32" s="1"/>
  <c r="I50" i="32" s="1"/>
  <c r="H8" i="32"/>
  <c r="I8" i="32" s="1"/>
  <c r="I47" i="32" s="1"/>
  <c r="H7" i="32"/>
  <c r="I7" i="32" s="1"/>
  <c r="I46" i="32" s="1"/>
  <c r="H6" i="32"/>
  <c r="I6" i="32" s="1"/>
  <c r="I45" i="32" s="1"/>
  <c r="H5" i="32"/>
  <c r="I5" i="32" s="1"/>
  <c r="I44" i="32" s="1"/>
  <c r="H4" i="32"/>
  <c r="I4" i="32" s="1"/>
  <c r="I43" i="32" s="1"/>
  <c r="H3" i="32"/>
  <c r="J3" i="32" s="1"/>
  <c r="E35" i="32"/>
  <c r="P35" i="32" s="1"/>
  <c r="Q35" i="32" s="1"/>
  <c r="E34" i="32"/>
  <c r="P34" i="32" s="1"/>
  <c r="Q34" i="32" s="1"/>
  <c r="E33" i="32"/>
  <c r="P33" i="32" s="1"/>
  <c r="Q33" i="32" s="1"/>
  <c r="E32" i="32"/>
  <c r="E31" i="32"/>
  <c r="E30" i="32"/>
  <c r="P30" i="32" s="1"/>
  <c r="Q30" i="32" s="1"/>
  <c r="E29" i="32"/>
  <c r="P29" i="32" s="1"/>
  <c r="Q29" i="32" s="1"/>
  <c r="E28" i="32"/>
  <c r="E27" i="32"/>
  <c r="P26" i="32"/>
  <c r="Q26" i="32" s="1"/>
  <c r="E25" i="32"/>
  <c r="P25" i="32" s="1"/>
  <c r="Q25" i="32" s="1"/>
  <c r="E24" i="32"/>
  <c r="P24" i="32" s="1"/>
  <c r="Q24" i="32" s="1"/>
  <c r="E23" i="32"/>
  <c r="E22" i="32"/>
  <c r="P22" i="32" s="1"/>
  <c r="Q22" i="32" s="1"/>
  <c r="E21" i="32"/>
  <c r="P21" i="32" s="1"/>
  <c r="Q21" i="32" s="1"/>
  <c r="E20" i="32"/>
  <c r="E19" i="32"/>
  <c r="P19" i="32" s="1"/>
  <c r="Q19" i="32" s="1"/>
  <c r="E18" i="32"/>
  <c r="P18" i="32" s="1"/>
  <c r="Q18" i="32" s="1"/>
  <c r="E17" i="32"/>
  <c r="P17" i="32" s="1"/>
  <c r="Q17" i="32" s="1"/>
  <c r="E16" i="32"/>
  <c r="E15" i="32"/>
  <c r="E14" i="32"/>
  <c r="P14" i="32" s="1"/>
  <c r="Q14" i="32" s="1"/>
  <c r="E13" i="32"/>
  <c r="P13" i="32" s="1"/>
  <c r="Q13" i="32" s="1"/>
  <c r="E12" i="32"/>
  <c r="E11" i="32"/>
  <c r="E10" i="32"/>
  <c r="P10" i="32" s="1"/>
  <c r="Q10" i="32" s="1"/>
  <c r="E9" i="32"/>
  <c r="P9" i="32" s="1"/>
  <c r="Q9" i="32" s="1"/>
  <c r="E8" i="32"/>
  <c r="P8" i="32" s="1"/>
  <c r="Q8" i="32" s="1"/>
  <c r="E7" i="32"/>
  <c r="P7" i="32" s="1"/>
  <c r="Q7" i="32" s="1"/>
  <c r="E6" i="32"/>
  <c r="E5" i="32"/>
  <c r="P5" i="32" s="1"/>
  <c r="Q5" i="32" s="1"/>
  <c r="E4" i="32"/>
  <c r="Q5" i="27"/>
  <c r="R5" i="27" s="1"/>
  <c r="Q4" i="27"/>
  <c r="R4" i="27" s="1"/>
  <c r="L36" i="19" l="1"/>
  <c r="L77" i="19" s="1"/>
  <c r="K77" i="19"/>
  <c r="J78" i="19"/>
  <c r="J38" i="19"/>
  <c r="K37" i="19"/>
  <c r="K3" i="32"/>
  <c r="I17" i="32"/>
  <c r="I56" i="32" s="1"/>
  <c r="J17" i="32"/>
  <c r="K17" i="32" s="1"/>
  <c r="F4" i="32"/>
  <c r="F43" i="32" s="1"/>
  <c r="P4" i="32"/>
  <c r="Q4" i="32" s="1"/>
  <c r="F32" i="32"/>
  <c r="F71" i="32" s="1"/>
  <c r="P32" i="32"/>
  <c r="Q32" i="32" s="1"/>
  <c r="F6" i="32"/>
  <c r="F45" i="32" s="1"/>
  <c r="P6" i="32"/>
  <c r="Q6" i="32" s="1"/>
  <c r="F11" i="32"/>
  <c r="F50" i="32" s="1"/>
  <c r="P11" i="32"/>
  <c r="Q11" i="32" s="1"/>
  <c r="F15" i="32"/>
  <c r="F54" i="32" s="1"/>
  <c r="P15" i="32"/>
  <c r="Q15" i="32" s="1"/>
  <c r="F23" i="32"/>
  <c r="F62" i="32" s="1"/>
  <c r="P23" i="32"/>
  <c r="Q23" i="32" s="1"/>
  <c r="F27" i="32"/>
  <c r="F66" i="32" s="1"/>
  <c r="P27" i="32"/>
  <c r="Q27" i="32" s="1"/>
  <c r="F31" i="32"/>
  <c r="F70" i="32" s="1"/>
  <c r="P31" i="32"/>
  <c r="Q31" i="32" s="1"/>
  <c r="F12" i="32"/>
  <c r="F51" i="32" s="1"/>
  <c r="P12" i="32"/>
  <c r="Q12" i="32" s="1"/>
  <c r="F16" i="32"/>
  <c r="F55" i="32" s="1"/>
  <c r="P16" i="32"/>
  <c r="Q16" i="32" s="1"/>
  <c r="F20" i="32"/>
  <c r="F59" i="32" s="1"/>
  <c r="P20" i="32"/>
  <c r="Q20" i="32" s="1"/>
  <c r="F28" i="32"/>
  <c r="F67" i="32" s="1"/>
  <c r="P28" i="32"/>
  <c r="Q28" i="32" s="1"/>
  <c r="F19" i="32"/>
  <c r="F58" i="32" s="1"/>
  <c r="F35" i="32"/>
  <c r="F74" i="32" s="1"/>
  <c r="J13" i="32"/>
  <c r="K13" i="32" s="1"/>
  <c r="J21" i="32"/>
  <c r="K21" i="32" s="1"/>
  <c r="J33" i="32"/>
  <c r="K33" i="32" s="1"/>
  <c r="J18" i="32"/>
  <c r="K18" i="32" s="1"/>
  <c r="J22" i="32"/>
  <c r="J26" i="32"/>
  <c r="K26" i="32" s="1"/>
  <c r="J30" i="32"/>
  <c r="K30" i="32" s="1"/>
  <c r="F24" i="32"/>
  <c r="F63" i="32" s="1"/>
  <c r="J25" i="32"/>
  <c r="K25" i="32" s="1"/>
  <c r="J11" i="32"/>
  <c r="K11" i="32" s="1"/>
  <c r="J15" i="32"/>
  <c r="K15" i="32" s="1"/>
  <c r="J23" i="32"/>
  <c r="K23" i="32" s="1"/>
  <c r="J27" i="32"/>
  <c r="K27" i="32" s="1"/>
  <c r="J31" i="32"/>
  <c r="K31" i="32" s="1"/>
  <c r="F9" i="32"/>
  <c r="F48" i="32" s="1"/>
  <c r="F13" i="32"/>
  <c r="F52" i="32" s="1"/>
  <c r="F17" i="32"/>
  <c r="F56" i="32" s="1"/>
  <c r="F21" i="32"/>
  <c r="F60" i="32" s="1"/>
  <c r="F25" i="32"/>
  <c r="F64" i="32" s="1"/>
  <c r="F29" i="32"/>
  <c r="F68" i="32" s="1"/>
  <c r="F33" i="32"/>
  <c r="F72" i="32" s="1"/>
  <c r="J4" i="32"/>
  <c r="K4" i="32" s="1"/>
  <c r="J12" i="32"/>
  <c r="K12" i="32" s="1"/>
  <c r="J16" i="32"/>
  <c r="K16" i="32" s="1"/>
  <c r="J20" i="32"/>
  <c r="K20" i="32" s="1"/>
  <c r="J28" i="32"/>
  <c r="K28" i="32" s="1"/>
  <c r="J32" i="32"/>
  <c r="K32" i="32" s="1"/>
  <c r="F10" i="32"/>
  <c r="F49" i="32" s="1"/>
  <c r="F14" i="32"/>
  <c r="F53" i="32" s="1"/>
  <c r="F18" i="32"/>
  <c r="F57" i="32" s="1"/>
  <c r="F22" i="32"/>
  <c r="F61" i="32" s="1"/>
  <c r="F26" i="32"/>
  <c r="F65" i="32" s="1"/>
  <c r="F30" i="32"/>
  <c r="F69" i="32" s="1"/>
  <c r="F34" i="32"/>
  <c r="F73" i="32" s="1"/>
  <c r="J8" i="32"/>
  <c r="K8" i="32" s="1"/>
  <c r="F8" i="32"/>
  <c r="F47" i="32" s="1"/>
  <c r="J7" i="32"/>
  <c r="K7" i="32" s="1"/>
  <c r="F7" i="32"/>
  <c r="F46" i="32" s="1"/>
  <c r="K6" i="32"/>
  <c r="J5" i="32"/>
  <c r="K5" i="32" s="1"/>
  <c r="F5" i="32"/>
  <c r="F44" i="32" s="1"/>
  <c r="I3" i="32"/>
  <c r="I42" i="32" s="1"/>
  <c r="BS8" i="12"/>
  <c r="BR8" i="12"/>
  <c r="BQ8" i="12"/>
  <c r="BM8" i="12"/>
  <c r="C9" i="19" s="1"/>
  <c r="D9" i="19" s="1"/>
  <c r="BS7" i="12"/>
  <c r="BR7" i="12"/>
  <c r="BQ7" i="12"/>
  <c r="BM7" i="12"/>
  <c r="C8" i="19" s="1"/>
  <c r="D8" i="19" s="1"/>
  <c r="BS6" i="12"/>
  <c r="BR6" i="12"/>
  <c r="BQ6" i="12"/>
  <c r="BM6" i="12"/>
  <c r="C7" i="19" s="1"/>
  <c r="D7" i="19" s="1"/>
  <c r="BS5" i="12"/>
  <c r="BR5" i="12"/>
  <c r="BQ5" i="12"/>
  <c r="BM5" i="12"/>
  <c r="C6" i="19" s="1"/>
  <c r="D6" i="19" s="1"/>
  <c r="BS4" i="12"/>
  <c r="BR4" i="12"/>
  <c r="BQ4" i="12"/>
  <c r="BM4" i="12"/>
  <c r="C5" i="19" s="1"/>
  <c r="D5" i="19" s="1"/>
  <c r="BS3" i="12"/>
  <c r="BR3" i="12"/>
  <c r="BQ3" i="12"/>
  <c r="BM3" i="12"/>
  <c r="C4" i="19" s="1"/>
  <c r="D4" i="19" s="1"/>
  <c r="S21" i="27" l="1"/>
  <c r="K59" i="32"/>
  <c r="S26" i="27"/>
  <c r="K64" i="32"/>
  <c r="S24" i="27"/>
  <c r="K62" i="32"/>
  <c r="S19" i="27"/>
  <c r="K57" i="32"/>
  <c r="S29" i="27"/>
  <c r="K67" i="32"/>
  <c r="S5" i="27"/>
  <c r="K43" i="32"/>
  <c r="S32" i="27"/>
  <c r="K70" i="32"/>
  <c r="S12" i="27"/>
  <c r="K50" i="32"/>
  <c r="S27" i="27"/>
  <c r="K65" i="32"/>
  <c r="S22" i="27"/>
  <c r="K60" i="32"/>
  <c r="S18" i="27"/>
  <c r="K56" i="32"/>
  <c r="S8" i="27"/>
  <c r="K46" i="32"/>
  <c r="S28" i="27"/>
  <c r="K66" i="32"/>
  <c r="S14" i="27"/>
  <c r="K52" i="32"/>
  <c r="S6" i="27"/>
  <c r="K44" i="32"/>
  <c r="S17" i="27"/>
  <c r="K55" i="32"/>
  <c r="S4" i="27"/>
  <c r="K42" i="32"/>
  <c r="S7" i="27"/>
  <c r="K45" i="32"/>
  <c r="S9" i="27"/>
  <c r="K47" i="32"/>
  <c r="S33" i="27"/>
  <c r="K71" i="32"/>
  <c r="S13" i="27"/>
  <c r="K51" i="32"/>
  <c r="S16" i="27"/>
  <c r="K54" i="32"/>
  <c r="S31" i="27"/>
  <c r="K69" i="32"/>
  <c r="S34" i="27"/>
  <c r="K72" i="32"/>
  <c r="L37" i="19"/>
  <c r="L78" i="19" s="1"/>
  <c r="K78" i="19"/>
  <c r="E4" i="19"/>
  <c r="D45" i="19"/>
  <c r="E6" i="19"/>
  <c r="D47" i="19"/>
  <c r="E5" i="19"/>
  <c r="D46" i="19"/>
  <c r="E7" i="19"/>
  <c r="D48" i="19"/>
  <c r="J79" i="19"/>
  <c r="J39" i="19"/>
  <c r="K38" i="19"/>
  <c r="E9" i="19"/>
  <c r="I9" i="19" s="1"/>
  <c r="E8" i="19"/>
  <c r="I8" i="19" s="1"/>
  <c r="K22" i="32"/>
  <c r="B17" i="30"/>
  <c r="I17" i="30" s="1"/>
  <c r="J17" i="30" s="1"/>
  <c r="B16" i="30"/>
  <c r="I16" i="30" s="1"/>
  <c r="J16" i="30" s="1"/>
  <c r="B15" i="30"/>
  <c r="I15" i="30" s="1"/>
  <c r="J15" i="30" s="1"/>
  <c r="B14" i="30"/>
  <c r="I14" i="30" s="1"/>
  <c r="J14" i="30" s="1"/>
  <c r="B13" i="30"/>
  <c r="I13" i="30" s="1"/>
  <c r="J13" i="30" s="1"/>
  <c r="B12" i="30"/>
  <c r="I12" i="30" s="1"/>
  <c r="J12" i="30" s="1"/>
  <c r="B11" i="30"/>
  <c r="I11" i="30" s="1"/>
  <c r="J11" i="30" s="1"/>
  <c r="B10" i="30"/>
  <c r="I10" i="30" s="1"/>
  <c r="J10" i="30" s="1"/>
  <c r="B9" i="30"/>
  <c r="I9" i="30" s="1"/>
  <c r="J9" i="30" s="1"/>
  <c r="B8" i="30"/>
  <c r="I8" i="30" s="1"/>
  <c r="J8" i="30" s="1"/>
  <c r="B7" i="30"/>
  <c r="I7" i="30" s="1"/>
  <c r="J7" i="30" s="1"/>
  <c r="B6" i="30"/>
  <c r="I6" i="30" s="1"/>
  <c r="J6" i="30" s="1"/>
  <c r="E3" i="30"/>
  <c r="F3" i="30" s="1"/>
  <c r="S23" i="27" l="1"/>
  <c r="K61" i="32"/>
  <c r="J40" i="19"/>
  <c r="J81" i="19" s="1"/>
  <c r="J80" i="19"/>
  <c r="K39" i="19"/>
  <c r="I5" i="19"/>
  <c r="I46" i="19" s="1"/>
  <c r="E46" i="19"/>
  <c r="I4" i="19"/>
  <c r="I45" i="19" s="1"/>
  <c r="E45" i="19"/>
  <c r="L38" i="19"/>
  <c r="L79" i="19" s="1"/>
  <c r="K79" i="19"/>
  <c r="I7" i="19"/>
  <c r="I48" i="19" s="1"/>
  <c r="E48" i="19"/>
  <c r="I6" i="19"/>
  <c r="I47" i="19" s="1"/>
  <c r="E47" i="19"/>
  <c r="I3" i="30"/>
  <c r="J3" i="30" s="1"/>
  <c r="K80" i="19" l="1"/>
  <c r="L39" i="19"/>
  <c r="K40" i="19"/>
  <c r="K81" i="19" s="1"/>
  <c r="B34" i="30"/>
  <c r="I34" i="30" s="1"/>
  <c r="J34" i="30" s="1"/>
  <c r="B33" i="30"/>
  <c r="I33" i="30" s="1"/>
  <c r="J33" i="30" s="1"/>
  <c r="B32" i="30"/>
  <c r="I32" i="30" s="1"/>
  <c r="J32" i="30" s="1"/>
  <c r="B31" i="30"/>
  <c r="I31" i="30" s="1"/>
  <c r="J31" i="30" s="1"/>
  <c r="B30" i="30"/>
  <c r="I30" i="30" s="1"/>
  <c r="J30" i="30" s="1"/>
  <c r="B29" i="30"/>
  <c r="I29" i="30" s="1"/>
  <c r="J29" i="30" s="1"/>
  <c r="B28" i="30"/>
  <c r="I28" i="30" s="1"/>
  <c r="J28" i="30" s="1"/>
  <c r="B27" i="30"/>
  <c r="I27" i="30" s="1"/>
  <c r="J27" i="30" s="1"/>
  <c r="B26" i="30"/>
  <c r="I26" i="30" s="1"/>
  <c r="J26" i="30" s="1"/>
  <c r="B25" i="30"/>
  <c r="I25" i="30" s="1"/>
  <c r="J25" i="30" s="1"/>
  <c r="B24" i="30"/>
  <c r="I24" i="30" s="1"/>
  <c r="J24" i="30" s="1"/>
  <c r="B23" i="30"/>
  <c r="I23" i="30" s="1"/>
  <c r="J23" i="30" s="1"/>
  <c r="B22" i="30"/>
  <c r="I22" i="30" s="1"/>
  <c r="J22" i="30" s="1"/>
  <c r="B21" i="30"/>
  <c r="I21" i="30" s="1"/>
  <c r="J21" i="30" s="1"/>
  <c r="B20" i="30"/>
  <c r="I20" i="30" s="1"/>
  <c r="J20" i="30" s="1"/>
  <c r="B19" i="30"/>
  <c r="I19" i="30" s="1"/>
  <c r="J19" i="30" s="1"/>
  <c r="B18" i="30"/>
  <c r="I18" i="30" s="1"/>
  <c r="J18" i="30" s="1"/>
  <c r="B4" i="30"/>
  <c r="I4" i="30" s="1"/>
  <c r="J4" i="30" s="1"/>
  <c r="C35" i="26"/>
  <c r="C34" i="26"/>
  <c r="C33" i="26"/>
  <c r="C32" i="26"/>
  <c r="C31" i="26"/>
  <c r="C30" i="26"/>
  <c r="C29" i="26"/>
  <c r="C28" i="26"/>
  <c r="C27" i="26"/>
  <c r="C26" i="26"/>
  <c r="C25" i="26"/>
  <c r="C24" i="26"/>
  <c r="C23" i="26"/>
  <c r="C22" i="26"/>
  <c r="C21" i="26"/>
  <c r="C20" i="26"/>
  <c r="C19" i="26"/>
  <c r="C18" i="26"/>
  <c r="C17" i="26"/>
  <c r="C16" i="26"/>
  <c r="C15" i="26"/>
  <c r="C14" i="26"/>
  <c r="C13" i="26"/>
  <c r="C12" i="26"/>
  <c r="C11" i="26"/>
  <c r="C10" i="26"/>
  <c r="C9" i="26"/>
  <c r="C8" i="26"/>
  <c r="C7" i="26"/>
  <c r="C6" i="26"/>
  <c r="C5" i="26"/>
  <c r="C4" i="26"/>
  <c r="G35" i="20"/>
  <c r="F35" i="20"/>
  <c r="E35" i="20"/>
  <c r="D35" i="20"/>
  <c r="C35" i="20"/>
  <c r="G34" i="20"/>
  <c r="F34" i="20"/>
  <c r="E34" i="20"/>
  <c r="D34" i="20"/>
  <c r="C34" i="20"/>
  <c r="G33" i="20"/>
  <c r="F33" i="20"/>
  <c r="E33" i="20"/>
  <c r="D33" i="20"/>
  <c r="C33" i="20"/>
  <c r="G32" i="20"/>
  <c r="F32" i="20"/>
  <c r="E32" i="20"/>
  <c r="D32" i="20"/>
  <c r="C32" i="20"/>
  <c r="G31" i="20"/>
  <c r="F31" i="20"/>
  <c r="E31" i="20"/>
  <c r="D31" i="20"/>
  <c r="C31" i="20"/>
  <c r="G30" i="20"/>
  <c r="F30" i="20"/>
  <c r="E30" i="20"/>
  <c r="D30" i="20"/>
  <c r="C30" i="20"/>
  <c r="G29" i="20"/>
  <c r="F29" i="20"/>
  <c r="E29" i="20"/>
  <c r="D29" i="20"/>
  <c r="C29" i="20"/>
  <c r="G28" i="20"/>
  <c r="F28" i="20"/>
  <c r="E28" i="20"/>
  <c r="D28" i="20"/>
  <c r="C28" i="20"/>
  <c r="G27" i="20"/>
  <c r="F27" i="20"/>
  <c r="E27" i="20"/>
  <c r="D27" i="20"/>
  <c r="C27" i="20"/>
  <c r="G26" i="20"/>
  <c r="F26" i="20"/>
  <c r="E26" i="20"/>
  <c r="D26" i="20"/>
  <c r="C26" i="20"/>
  <c r="G25" i="20"/>
  <c r="F25" i="20"/>
  <c r="E25" i="20"/>
  <c r="D25" i="20"/>
  <c r="C25" i="20"/>
  <c r="G24" i="20"/>
  <c r="F24" i="20"/>
  <c r="E24" i="20"/>
  <c r="D24" i="20"/>
  <c r="C24" i="20"/>
  <c r="G23" i="20"/>
  <c r="F23" i="20"/>
  <c r="E23" i="20"/>
  <c r="D23" i="20"/>
  <c r="C23" i="20"/>
  <c r="G22" i="20"/>
  <c r="F22" i="20"/>
  <c r="E22" i="20"/>
  <c r="D22" i="20"/>
  <c r="C22" i="20"/>
  <c r="G21" i="20"/>
  <c r="F21" i="20"/>
  <c r="E21" i="20"/>
  <c r="D21" i="20"/>
  <c r="C21" i="20"/>
  <c r="G20" i="20"/>
  <c r="F20" i="20"/>
  <c r="E20" i="20"/>
  <c r="D20" i="20"/>
  <c r="C20" i="20"/>
  <c r="G19" i="20"/>
  <c r="F19" i="20"/>
  <c r="E19" i="20"/>
  <c r="D19" i="20"/>
  <c r="C19" i="20"/>
  <c r="G18" i="20"/>
  <c r="F18" i="20"/>
  <c r="E18" i="20"/>
  <c r="D18" i="20"/>
  <c r="C18" i="20"/>
  <c r="G17" i="20"/>
  <c r="F17" i="20"/>
  <c r="E17" i="20"/>
  <c r="D17" i="20"/>
  <c r="C17" i="20"/>
  <c r="G16" i="20"/>
  <c r="F16" i="20"/>
  <c r="E16" i="20"/>
  <c r="D16" i="20"/>
  <c r="C16" i="20"/>
  <c r="G15" i="20"/>
  <c r="F15" i="20"/>
  <c r="E15" i="20"/>
  <c r="D15" i="20"/>
  <c r="C15" i="20"/>
  <c r="G14" i="20"/>
  <c r="F14" i="20"/>
  <c r="E14" i="20"/>
  <c r="D14" i="20"/>
  <c r="C14" i="20"/>
  <c r="G13" i="20"/>
  <c r="F13" i="20"/>
  <c r="E13" i="20"/>
  <c r="D13" i="20"/>
  <c r="C13" i="20"/>
  <c r="G12" i="20"/>
  <c r="F12" i="20"/>
  <c r="E12" i="20"/>
  <c r="D12" i="20"/>
  <c r="C12" i="20"/>
  <c r="G11" i="20"/>
  <c r="F11" i="20"/>
  <c r="E11" i="20"/>
  <c r="D11" i="20"/>
  <c r="C11" i="20"/>
  <c r="G10" i="20"/>
  <c r="F10" i="20"/>
  <c r="E10" i="20"/>
  <c r="D10" i="20"/>
  <c r="C10" i="20"/>
  <c r="G9" i="20"/>
  <c r="F9" i="20"/>
  <c r="E9" i="20"/>
  <c r="D9" i="20"/>
  <c r="C9" i="20"/>
  <c r="G8" i="20"/>
  <c r="F8" i="20"/>
  <c r="E8" i="20"/>
  <c r="D8" i="20"/>
  <c r="C8" i="20"/>
  <c r="G7" i="20"/>
  <c r="F7" i="20"/>
  <c r="E7" i="20"/>
  <c r="D7" i="20"/>
  <c r="C7" i="20"/>
  <c r="G6" i="20"/>
  <c r="F6" i="20"/>
  <c r="E6" i="20"/>
  <c r="D6" i="20"/>
  <c r="C6" i="20"/>
  <c r="G5" i="20"/>
  <c r="F5" i="20"/>
  <c r="E5" i="20"/>
  <c r="D5" i="20"/>
  <c r="C5" i="20"/>
  <c r="G4" i="20"/>
  <c r="F4" i="20"/>
  <c r="E4" i="20"/>
  <c r="D4" i="20"/>
  <c r="C4" i="20"/>
  <c r="N34" i="7"/>
  <c r="L34" i="7"/>
  <c r="N33" i="7"/>
  <c r="L33" i="7"/>
  <c r="N32" i="7"/>
  <c r="L32" i="7"/>
  <c r="N31" i="7"/>
  <c r="L31" i="7"/>
  <c r="N30" i="7"/>
  <c r="L30" i="7"/>
  <c r="N29" i="7"/>
  <c r="L29" i="7"/>
  <c r="N28" i="7"/>
  <c r="L28" i="7"/>
  <c r="N27" i="7"/>
  <c r="L27" i="7"/>
  <c r="N26" i="7"/>
  <c r="L26" i="7"/>
  <c r="N25" i="7"/>
  <c r="L25" i="7"/>
  <c r="N24" i="7"/>
  <c r="L24" i="7"/>
  <c r="N23" i="7"/>
  <c r="L23" i="7"/>
  <c r="N22" i="7"/>
  <c r="L22" i="7"/>
  <c r="N21" i="7"/>
  <c r="L21" i="7"/>
  <c r="N20" i="7"/>
  <c r="L20" i="7"/>
  <c r="N19" i="7"/>
  <c r="L19" i="7"/>
  <c r="N18" i="7"/>
  <c r="L18" i="7"/>
  <c r="N17" i="7"/>
  <c r="L17" i="7"/>
  <c r="N16" i="7"/>
  <c r="L16" i="7"/>
  <c r="N15" i="7"/>
  <c r="L15" i="7"/>
  <c r="N14" i="7"/>
  <c r="L14" i="7"/>
  <c r="N13" i="7"/>
  <c r="L13" i="7"/>
  <c r="N12" i="7"/>
  <c r="L12" i="7"/>
  <c r="N11" i="7"/>
  <c r="L11" i="7"/>
  <c r="N10" i="7"/>
  <c r="L10" i="7"/>
  <c r="N9" i="7"/>
  <c r="L9" i="7"/>
  <c r="N8" i="7"/>
  <c r="L8" i="7"/>
  <c r="N7" i="7"/>
  <c r="L7" i="7"/>
  <c r="N6" i="7"/>
  <c r="L6" i="7"/>
  <c r="N4" i="7"/>
  <c r="L4" i="7"/>
  <c r="N3" i="7"/>
  <c r="L3"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4" i="7"/>
  <c r="C3" i="7"/>
  <c r="E34" i="7"/>
  <c r="B34" i="7"/>
  <c r="E33" i="7"/>
  <c r="B33" i="7"/>
  <c r="E32" i="7"/>
  <c r="B32" i="7"/>
  <c r="E31" i="7"/>
  <c r="B31" i="7"/>
  <c r="E30" i="7"/>
  <c r="B30" i="7"/>
  <c r="E29" i="7"/>
  <c r="B29" i="7"/>
  <c r="E28" i="7"/>
  <c r="B28" i="7"/>
  <c r="E27" i="7"/>
  <c r="B27" i="7"/>
  <c r="E26" i="7"/>
  <c r="B26" i="7"/>
  <c r="E25" i="7"/>
  <c r="B25" i="7"/>
  <c r="E24" i="7"/>
  <c r="B24" i="7"/>
  <c r="E23" i="7"/>
  <c r="B23" i="7"/>
  <c r="E22" i="7"/>
  <c r="B22" i="7"/>
  <c r="E21" i="7"/>
  <c r="B21" i="7"/>
  <c r="E20" i="7"/>
  <c r="B20" i="7"/>
  <c r="E19" i="7"/>
  <c r="B19" i="7"/>
  <c r="E18" i="7"/>
  <c r="B18" i="7"/>
  <c r="E17" i="7"/>
  <c r="B17" i="7"/>
  <c r="E16" i="7"/>
  <c r="B16" i="7"/>
  <c r="E15" i="7"/>
  <c r="B15" i="7"/>
  <c r="E14" i="7"/>
  <c r="B14" i="7"/>
  <c r="E13" i="7"/>
  <c r="B13" i="7"/>
  <c r="E12" i="7"/>
  <c r="B12" i="7"/>
  <c r="E11" i="7"/>
  <c r="B11" i="7"/>
  <c r="E10" i="7"/>
  <c r="B10" i="7"/>
  <c r="E9" i="7"/>
  <c r="B9" i="7"/>
  <c r="E8" i="7"/>
  <c r="B8" i="7"/>
  <c r="E7" i="7"/>
  <c r="B7" i="7"/>
  <c r="E6" i="7"/>
  <c r="B6" i="7"/>
  <c r="E4" i="7"/>
  <c r="B4" i="7"/>
  <c r="E3" i="7"/>
  <c r="B3" i="7"/>
  <c r="U35" i="16"/>
  <c r="U34" i="16"/>
  <c r="U33" i="16"/>
  <c r="U32" i="16"/>
  <c r="U31" i="16"/>
  <c r="U30" i="16"/>
  <c r="U29" i="16"/>
  <c r="U28" i="16"/>
  <c r="U27" i="16"/>
  <c r="U26" i="16"/>
  <c r="U25" i="16"/>
  <c r="U24" i="16"/>
  <c r="U23" i="16"/>
  <c r="U22" i="16"/>
  <c r="U21" i="16"/>
  <c r="U20" i="16"/>
  <c r="U19" i="16"/>
  <c r="U18" i="16"/>
  <c r="U17" i="16"/>
  <c r="U16" i="16"/>
  <c r="U15" i="16"/>
  <c r="U14" i="16"/>
  <c r="U13" i="16"/>
  <c r="U12" i="16"/>
  <c r="U11" i="16"/>
  <c r="U10" i="16"/>
  <c r="U9" i="16"/>
  <c r="U8" i="16"/>
  <c r="U7" i="16"/>
  <c r="U5" i="16"/>
  <c r="U4" i="16"/>
  <c r="N35"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5" i="16"/>
  <c r="J4"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C4" i="16"/>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I10" i="19" s="1"/>
  <c r="N8" i="19"/>
  <c r="P8" i="19" s="1"/>
  <c r="B9" i="16"/>
  <c r="C33" i="17"/>
  <c r="L40" i="19" l="1"/>
  <c r="L81" i="19" s="1"/>
  <c r="L80" i="19"/>
  <c r="J35" i="30"/>
  <c r="N14" i="19"/>
  <c r="P14" i="19" s="1"/>
  <c r="P55" i="19" s="1"/>
  <c r="I14" i="19"/>
  <c r="N22" i="19"/>
  <c r="P22" i="19" s="1"/>
  <c r="P63" i="19" s="1"/>
  <c r="I22" i="19"/>
  <c r="N26" i="19"/>
  <c r="P26" i="19" s="1"/>
  <c r="P67" i="19" s="1"/>
  <c r="I26" i="19"/>
  <c r="N30" i="19"/>
  <c r="P30" i="19" s="1"/>
  <c r="P71" i="19" s="1"/>
  <c r="I30" i="19"/>
  <c r="N38" i="19"/>
  <c r="P38" i="19" s="1"/>
  <c r="P79" i="19" s="1"/>
  <c r="I38" i="19"/>
  <c r="N12" i="19"/>
  <c r="P12" i="19" s="1"/>
  <c r="P53" i="19" s="1"/>
  <c r="I12" i="19"/>
  <c r="N16" i="19"/>
  <c r="P16" i="19" s="1"/>
  <c r="P57" i="19" s="1"/>
  <c r="I16" i="19"/>
  <c r="N20" i="19"/>
  <c r="P20" i="19" s="1"/>
  <c r="P61" i="19" s="1"/>
  <c r="I20" i="19"/>
  <c r="N24" i="19"/>
  <c r="P24" i="19" s="1"/>
  <c r="P65" i="19" s="1"/>
  <c r="I24" i="19"/>
  <c r="N28" i="19"/>
  <c r="P28" i="19" s="1"/>
  <c r="P69" i="19" s="1"/>
  <c r="I28" i="19"/>
  <c r="N32" i="19"/>
  <c r="P32" i="19" s="1"/>
  <c r="P73" i="19" s="1"/>
  <c r="I32" i="19"/>
  <c r="N36" i="19"/>
  <c r="P36" i="19" s="1"/>
  <c r="P77" i="19" s="1"/>
  <c r="I36" i="19"/>
  <c r="N13" i="19"/>
  <c r="P13" i="19" s="1"/>
  <c r="P54" i="19" s="1"/>
  <c r="I13" i="19"/>
  <c r="N17" i="19"/>
  <c r="P17" i="19" s="1"/>
  <c r="P58" i="19" s="1"/>
  <c r="I17" i="19"/>
  <c r="N21" i="19"/>
  <c r="P21" i="19" s="1"/>
  <c r="P62" i="19" s="1"/>
  <c r="I21" i="19"/>
  <c r="N25" i="19"/>
  <c r="P25" i="19" s="1"/>
  <c r="P66" i="19" s="1"/>
  <c r="I25" i="19"/>
  <c r="N29" i="19"/>
  <c r="P29" i="19" s="1"/>
  <c r="P70" i="19" s="1"/>
  <c r="I29" i="19"/>
  <c r="N33" i="19"/>
  <c r="P33" i="19" s="1"/>
  <c r="P74" i="19" s="1"/>
  <c r="I33" i="19"/>
  <c r="N37" i="19"/>
  <c r="P37" i="19" s="1"/>
  <c r="P78" i="19" s="1"/>
  <c r="I37" i="19"/>
  <c r="N18" i="19"/>
  <c r="P18" i="19" s="1"/>
  <c r="P59" i="19" s="1"/>
  <c r="I18" i="19"/>
  <c r="N34" i="19"/>
  <c r="P34" i="19" s="1"/>
  <c r="P75" i="19" s="1"/>
  <c r="I34" i="19"/>
  <c r="N11" i="19"/>
  <c r="P11" i="19" s="1"/>
  <c r="P52" i="19" s="1"/>
  <c r="I11" i="19"/>
  <c r="N15" i="19"/>
  <c r="P15" i="19" s="1"/>
  <c r="P56" i="19" s="1"/>
  <c r="I15" i="19"/>
  <c r="N19" i="19"/>
  <c r="P19" i="19" s="1"/>
  <c r="P60" i="19" s="1"/>
  <c r="I19" i="19"/>
  <c r="N23" i="19"/>
  <c r="P23" i="19" s="1"/>
  <c r="P64" i="19" s="1"/>
  <c r="I23" i="19"/>
  <c r="N27" i="19"/>
  <c r="P27" i="19" s="1"/>
  <c r="P68" i="19" s="1"/>
  <c r="I27" i="19"/>
  <c r="N31" i="19"/>
  <c r="P31" i="19" s="1"/>
  <c r="P72" i="19" s="1"/>
  <c r="I31" i="19"/>
  <c r="N35" i="19"/>
  <c r="P35" i="19" s="1"/>
  <c r="P76" i="19" s="1"/>
  <c r="I35" i="19"/>
  <c r="N39" i="19"/>
  <c r="P39" i="19" s="1"/>
  <c r="P80" i="19" s="1"/>
  <c r="I39" i="19"/>
  <c r="N10" i="19"/>
  <c r="C21" i="17"/>
  <c r="C13" i="17"/>
  <c r="C29" i="17"/>
  <c r="C5" i="17"/>
  <c r="C7" i="17"/>
  <c r="C15" i="17"/>
  <c r="C23" i="17"/>
  <c r="C31" i="17"/>
  <c r="C9" i="17"/>
  <c r="C17" i="17"/>
  <c r="C25" i="17"/>
  <c r="C34" i="17"/>
  <c r="C30" i="17"/>
  <c r="C26" i="17"/>
  <c r="C22" i="17"/>
  <c r="C18" i="17"/>
  <c r="C14" i="17"/>
  <c r="C10" i="17"/>
  <c r="C6" i="17"/>
  <c r="C32" i="17"/>
  <c r="C28" i="17"/>
  <c r="C24" i="17"/>
  <c r="C20" i="17"/>
  <c r="C16" i="17"/>
  <c r="C12" i="17"/>
  <c r="C8" i="17"/>
  <c r="C4" i="17"/>
  <c r="C26" i="28"/>
  <c r="C6" i="28"/>
  <c r="C22" i="28"/>
  <c r="C3" i="17"/>
  <c r="C11" i="17"/>
  <c r="C19" i="17"/>
  <c r="C27" i="17"/>
  <c r="B25" i="16"/>
  <c r="C34" i="28"/>
  <c r="C18" i="28"/>
  <c r="B34" i="16"/>
  <c r="B30" i="16"/>
  <c r="B26" i="16"/>
  <c r="B22" i="16"/>
  <c r="B18" i="16"/>
  <c r="B14" i="16"/>
  <c r="B10" i="16"/>
  <c r="B6" i="16"/>
  <c r="B28" i="16"/>
  <c r="B20" i="16"/>
  <c r="B16" i="16"/>
  <c r="B8" i="16"/>
  <c r="B35" i="16"/>
  <c r="B31" i="16"/>
  <c r="B27" i="16"/>
  <c r="B23" i="16"/>
  <c r="B19" i="16"/>
  <c r="B15" i="16"/>
  <c r="B11" i="16"/>
  <c r="B7" i="16"/>
  <c r="B32" i="16"/>
  <c r="B24" i="16"/>
  <c r="B12" i="16"/>
  <c r="B4" i="16"/>
  <c r="B13" i="16"/>
  <c r="C10" i="28"/>
  <c r="B17" i="16"/>
  <c r="B33" i="16"/>
  <c r="B29" i="16"/>
  <c r="C33" i="28"/>
  <c r="C29" i="28"/>
  <c r="C25" i="28"/>
  <c r="C21" i="28"/>
  <c r="C17" i="28"/>
  <c r="C13" i="28"/>
  <c r="C9" i="28"/>
  <c r="C5" i="28"/>
  <c r="C27" i="28"/>
  <c r="C19" i="28"/>
  <c r="C11" i="28"/>
  <c r="C3" i="28"/>
  <c r="C32" i="28"/>
  <c r="C28" i="28"/>
  <c r="C24" i="28"/>
  <c r="C20" i="28"/>
  <c r="C16" i="28"/>
  <c r="C12" i="28"/>
  <c r="C8" i="28"/>
  <c r="C4" i="28"/>
  <c r="C31" i="28"/>
  <c r="C23" i="28"/>
  <c r="C15" i="28"/>
  <c r="C7" i="28"/>
  <c r="C14" i="28"/>
  <c r="C30" i="28"/>
  <c r="B5" i="16"/>
  <c r="B21" i="16"/>
  <c r="P10" i="19" l="1"/>
  <c r="H30" i="16"/>
  <c r="H33" i="16"/>
  <c r="H17" i="16"/>
  <c r="H31" i="16"/>
  <c r="H20" i="16"/>
  <c r="H4" i="16"/>
  <c r="H11" i="16"/>
  <c r="H35" i="16"/>
  <c r="H25" i="16"/>
  <c r="H28" i="16"/>
  <c r="H27" i="16"/>
  <c r="H34" i="16"/>
  <c r="H26" i="16"/>
  <c r="H22" i="16"/>
  <c r="H21" i="16"/>
  <c r="H7" i="16"/>
  <c r="H24" i="16"/>
  <c r="H19" i="16"/>
  <c r="H10" i="16"/>
  <c r="H14" i="16"/>
  <c r="H29" i="16"/>
  <c r="H13" i="16"/>
  <c r="H23" i="16"/>
  <c r="H32" i="16"/>
  <c r="H16" i="16"/>
  <c r="H18" i="16"/>
  <c r="H9" i="16"/>
  <c r="H15" i="16"/>
  <c r="H12" i="16"/>
  <c r="H5" i="16"/>
  <c r="H8" i="16"/>
  <c r="M33" i="16"/>
  <c r="M29" i="16"/>
  <c r="M25" i="16"/>
  <c r="M21" i="16"/>
  <c r="M17" i="16"/>
  <c r="M13" i="16"/>
  <c r="M9" i="16"/>
  <c r="M5" i="16"/>
  <c r="M26" i="16"/>
  <c r="M23" i="16"/>
  <c r="M20" i="16"/>
  <c r="M10" i="16"/>
  <c r="M7" i="16"/>
  <c r="M35" i="16"/>
  <c r="M32" i="16"/>
  <c r="M22" i="16"/>
  <c r="M6" i="16"/>
  <c r="M30" i="16"/>
  <c r="M27" i="16"/>
  <c r="M24" i="16"/>
  <c r="M14" i="16"/>
  <c r="M11" i="16"/>
  <c r="M8" i="16"/>
  <c r="M34" i="16"/>
  <c r="M31" i="16"/>
  <c r="M28" i="16"/>
  <c r="M18" i="16"/>
  <c r="M15" i="16"/>
  <c r="M12" i="16"/>
  <c r="M4" i="16"/>
  <c r="M19" i="16"/>
  <c r="M16" i="16"/>
  <c r="P40" i="19" l="1"/>
  <c r="P81" i="19" s="1"/>
  <c r="P51" i="19"/>
  <c r="F34" i="30"/>
  <c r="F33" i="30"/>
  <c r="F32" i="30"/>
  <c r="F31" i="30"/>
  <c r="F30" i="30"/>
  <c r="F29" i="30"/>
  <c r="F28" i="30"/>
  <c r="F27" i="30"/>
  <c r="F26" i="30"/>
  <c r="F25" i="30"/>
  <c r="F24" i="30"/>
  <c r="F23" i="30"/>
  <c r="F22" i="30"/>
  <c r="F21" i="30"/>
  <c r="F20" i="30"/>
  <c r="F19" i="30"/>
  <c r="F18" i="30"/>
  <c r="F17" i="30"/>
  <c r="F16" i="30"/>
  <c r="F15" i="30"/>
  <c r="F14" i="30"/>
  <c r="F13" i="30"/>
  <c r="F12" i="30"/>
  <c r="F11" i="30"/>
  <c r="F10" i="30"/>
  <c r="F9" i="30"/>
  <c r="F8" i="30"/>
  <c r="F7"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4" i="30"/>
  <c r="F4" i="30" s="1"/>
  <c r="F6" i="30"/>
  <c r="K34" i="7" l="1"/>
  <c r="K33" i="7"/>
  <c r="K32" i="7"/>
  <c r="K31" i="7"/>
  <c r="K30" i="7"/>
  <c r="K28" i="7"/>
  <c r="K26" i="7"/>
  <c r="K24" i="7"/>
  <c r="K22" i="7"/>
  <c r="K20" i="7"/>
  <c r="K18" i="7"/>
  <c r="K17" i="7"/>
  <c r="K15" i="7"/>
  <c r="K13" i="7"/>
  <c r="K11" i="7"/>
  <c r="K9" i="7"/>
  <c r="K7" i="7"/>
  <c r="K3" i="7"/>
  <c r="K29" i="7"/>
  <c r="K27" i="7"/>
  <c r="K25" i="7"/>
  <c r="K23" i="7"/>
  <c r="K21" i="7"/>
  <c r="K19" i="7"/>
  <c r="K16" i="7"/>
  <c r="K14" i="7"/>
  <c r="K12" i="7"/>
  <c r="K10" i="7"/>
  <c r="K8" i="7"/>
  <c r="K6" i="7"/>
  <c r="K4" i="7"/>
  <c r="C3" i="30"/>
  <c r="D3" i="30" s="1"/>
  <c r="G3" i="30" s="1"/>
  <c r="R6" i="36"/>
  <c r="L6" i="36"/>
  <c r="J6" i="36"/>
  <c r="I6" i="36"/>
  <c r="H6" i="36"/>
  <c r="AA6" i="36"/>
  <c r="K6" i="36"/>
  <c r="AA5" i="36"/>
  <c r="K5" i="36"/>
  <c r="I5" i="36"/>
  <c r="H5" i="36"/>
  <c r="AA4" i="36"/>
  <c r="J4" i="36"/>
  <c r="H4" i="36"/>
  <c r="I4" i="36"/>
  <c r="AA3" i="36"/>
  <c r="A4" i="36"/>
  <c r="A5" i="36" s="1"/>
  <c r="A6" i="36" s="1"/>
  <c r="A7" i="36" s="1"/>
  <c r="AA8" i="36" l="1"/>
  <c r="AA9" i="36" s="1"/>
  <c r="M34" i="7"/>
  <c r="M30" i="7"/>
  <c r="M26" i="7"/>
  <c r="M22" i="7"/>
  <c r="M18" i="7"/>
  <c r="M14" i="7"/>
  <c r="M10" i="7"/>
  <c r="M6" i="7"/>
  <c r="D34" i="7"/>
  <c r="D30" i="7"/>
  <c r="D26" i="7"/>
  <c r="D22" i="7"/>
  <c r="D18" i="7"/>
  <c r="D14" i="7"/>
  <c r="D10" i="7"/>
  <c r="D6" i="7"/>
  <c r="M31" i="7"/>
  <c r="M27" i="7"/>
  <c r="M23" i="7"/>
  <c r="M19" i="7"/>
  <c r="M15" i="7"/>
  <c r="M11" i="7"/>
  <c r="M7" i="7"/>
  <c r="M3" i="7"/>
  <c r="D31" i="7"/>
  <c r="D27" i="7"/>
  <c r="D23" i="7"/>
  <c r="D19" i="7"/>
  <c r="D15" i="7"/>
  <c r="D11" i="7"/>
  <c r="D7" i="7"/>
  <c r="D3" i="7"/>
  <c r="M32" i="7"/>
  <c r="M28" i="7"/>
  <c r="M24" i="7"/>
  <c r="M20" i="7"/>
  <c r="M16" i="7"/>
  <c r="M12" i="7"/>
  <c r="M8" i="7"/>
  <c r="M4" i="7"/>
  <c r="D32" i="7"/>
  <c r="D28" i="7"/>
  <c r="D24" i="7"/>
  <c r="D20" i="7"/>
  <c r="D16" i="7"/>
  <c r="D12" i="7"/>
  <c r="D8" i="7"/>
  <c r="D4" i="7"/>
  <c r="M33" i="7"/>
  <c r="M29" i="7"/>
  <c r="M25" i="7"/>
  <c r="M21" i="7"/>
  <c r="M17" i="7"/>
  <c r="M13" i="7"/>
  <c r="M9" i="7"/>
  <c r="D33" i="7"/>
  <c r="D29" i="7"/>
  <c r="D25" i="7"/>
  <c r="D21" i="7"/>
  <c r="D17" i="7"/>
  <c r="D13" i="7"/>
  <c r="D9" i="7"/>
  <c r="C32" i="30"/>
  <c r="D32" i="30" s="1"/>
  <c r="G32" i="30" s="1"/>
  <c r="C28" i="30"/>
  <c r="D28" i="30" s="1"/>
  <c r="G28" i="30" s="1"/>
  <c r="C24" i="30"/>
  <c r="D24" i="30" s="1"/>
  <c r="G24" i="30" s="1"/>
  <c r="C20" i="30"/>
  <c r="D20" i="30" s="1"/>
  <c r="G20" i="30" s="1"/>
  <c r="C16" i="30"/>
  <c r="D16" i="30" s="1"/>
  <c r="G16" i="30" s="1"/>
  <c r="C12" i="30"/>
  <c r="D12" i="30" s="1"/>
  <c r="G12" i="30" s="1"/>
  <c r="C8" i="30"/>
  <c r="D8" i="30" s="1"/>
  <c r="G8" i="30" s="1"/>
  <c r="C4" i="30"/>
  <c r="D4" i="30" s="1"/>
  <c r="C31" i="30"/>
  <c r="D31" i="30" s="1"/>
  <c r="G31" i="30" s="1"/>
  <c r="C27" i="30"/>
  <c r="D27" i="30" s="1"/>
  <c r="G27" i="30" s="1"/>
  <c r="C23" i="30"/>
  <c r="D23" i="30" s="1"/>
  <c r="G23" i="30" s="1"/>
  <c r="C19" i="30"/>
  <c r="D19" i="30" s="1"/>
  <c r="G19" i="30" s="1"/>
  <c r="C15" i="30"/>
  <c r="D15" i="30" s="1"/>
  <c r="G15" i="30" s="1"/>
  <c r="C11" i="30"/>
  <c r="D11" i="30" s="1"/>
  <c r="G11" i="30" s="1"/>
  <c r="C7" i="30"/>
  <c r="D7" i="30" s="1"/>
  <c r="G7" i="30" s="1"/>
  <c r="C34" i="30"/>
  <c r="D34" i="30" s="1"/>
  <c r="G34" i="30" s="1"/>
  <c r="C30" i="30"/>
  <c r="D30" i="30" s="1"/>
  <c r="G30" i="30" s="1"/>
  <c r="C26" i="30"/>
  <c r="D26" i="30" s="1"/>
  <c r="G26" i="30" s="1"/>
  <c r="C22" i="30"/>
  <c r="D22" i="30" s="1"/>
  <c r="G22" i="30" s="1"/>
  <c r="C18" i="30"/>
  <c r="D18" i="30" s="1"/>
  <c r="G18" i="30" s="1"/>
  <c r="C14" i="30"/>
  <c r="D14" i="30" s="1"/>
  <c r="G14" i="30" s="1"/>
  <c r="C10" i="30"/>
  <c r="D10" i="30" s="1"/>
  <c r="G10" i="30" s="1"/>
  <c r="C6" i="30"/>
  <c r="D6" i="30" s="1"/>
  <c r="G6" i="30" s="1"/>
  <c r="C33" i="30"/>
  <c r="D33" i="30" s="1"/>
  <c r="G33" i="30" s="1"/>
  <c r="C29" i="30"/>
  <c r="D29" i="30" s="1"/>
  <c r="G29" i="30" s="1"/>
  <c r="C25" i="30"/>
  <c r="D25" i="30" s="1"/>
  <c r="G25" i="30" s="1"/>
  <c r="C21" i="30"/>
  <c r="D21" i="30" s="1"/>
  <c r="G21" i="30" s="1"/>
  <c r="C17" i="30"/>
  <c r="D17" i="30" s="1"/>
  <c r="G17" i="30" s="1"/>
  <c r="C13" i="30"/>
  <c r="D13" i="30" s="1"/>
  <c r="G13" i="30" s="1"/>
  <c r="C9" i="30"/>
  <c r="D9" i="30" s="1"/>
  <c r="G9" i="30" s="1"/>
  <c r="S33" i="16"/>
  <c r="S35" i="16"/>
  <c r="S31" i="16"/>
  <c r="S27" i="16"/>
  <c r="S23" i="16"/>
  <c r="S19" i="16"/>
  <c r="S15" i="16"/>
  <c r="S11" i="16"/>
  <c r="S7" i="16"/>
  <c r="S32" i="16"/>
  <c r="S26" i="16"/>
  <c r="S21" i="16"/>
  <c r="S16" i="16"/>
  <c r="S10" i="16"/>
  <c r="S5" i="16"/>
  <c r="S28" i="16"/>
  <c r="S17" i="16"/>
  <c r="S30" i="16"/>
  <c r="S25" i="16"/>
  <c r="S20" i="16"/>
  <c r="S14" i="16"/>
  <c r="S9" i="16"/>
  <c r="S4" i="16"/>
  <c r="S29" i="16"/>
  <c r="S24" i="16"/>
  <c r="S18" i="16"/>
  <c r="S13" i="16"/>
  <c r="S8" i="16"/>
  <c r="S34" i="16"/>
  <c r="S22" i="16"/>
  <c r="S12" i="16"/>
  <c r="L3" i="36"/>
  <c r="H3" i="36"/>
  <c r="H8" i="36" s="1"/>
  <c r="H9" i="36" s="1"/>
  <c r="K3" i="36"/>
  <c r="J3" i="36"/>
  <c r="I3" i="36"/>
  <c r="I8" i="36" s="1"/>
  <c r="I9" i="36" s="1"/>
  <c r="G3" i="36"/>
  <c r="P6" i="36"/>
  <c r="S6" i="36"/>
  <c r="O6" i="36"/>
  <c r="K4" i="36"/>
  <c r="J5" i="36"/>
  <c r="G5" i="36"/>
  <c r="L5" i="36"/>
  <c r="N6" i="36"/>
  <c r="G4" i="36"/>
  <c r="L4" i="36"/>
  <c r="Q6" i="36"/>
  <c r="G6" i="36"/>
  <c r="AA6" i="18"/>
  <c r="AA8" i="18" s="1"/>
  <c r="AA9" i="18" l="1"/>
  <c r="AA10" i="18" s="1"/>
  <c r="L6" i="18"/>
  <c r="L8" i="18" s="1"/>
  <c r="L9" i="18" s="1"/>
  <c r="H6" i="18"/>
  <c r="H8" i="18" s="1"/>
  <c r="H9" i="18" s="1"/>
  <c r="K6" i="18"/>
  <c r="K8" i="18" s="1"/>
  <c r="K9" i="18" s="1"/>
  <c r="G6" i="18"/>
  <c r="G8" i="18" s="1"/>
  <c r="J6" i="18"/>
  <c r="J8" i="18" s="1"/>
  <c r="J9" i="18" s="1"/>
  <c r="I6" i="18"/>
  <c r="I8" i="18" s="1"/>
  <c r="I9" i="18" s="1"/>
  <c r="K8" i="36"/>
  <c r="K9" i="36" s="1"/>
  <c r="L8" i="36"/>
  <c r="L9" i="36" s="1"/>
  <c r="J8" i="36"/>
  <c r="J9" i="36" s="1"/>
  <c r="G4" i="30"/>
  <c r="D35" i="30"/>
  <c r="R4" i="36"/>
  <c r="N4" i="36"/>
  <c r="S4" i="36"/>
  <c r="Q4" i="36"/>
  <c r="P4" i="36"/>
  <c r="O4" i="36"/>
  <c r="Q3" i="36"/>
  <c r="R3" i="36"/>
  <c r="P3" i="36"/>
  <c r="O3" i="36"/>
  <c r="S3" i="36"/>
  <c r="N3" i="36"/>
  <c r="S5" i="36"/>
  <c r="O5" i="36"/>
  <c r="N5" i="36"/>
  <c r="R5" i="36"/>
  <c r="Q5" i="36"/>
  <c r="P5" i="36"/>
  <c r="B4" i="8"/>
  <c r="B5" i="8" s="1"/>
  <c r="B6" i="8" s="1"/>
  <c r="A38" i="19"/>
  <c r="A39" i="19" s="1"/>
  <c r="F9" i="18"/>
  <c r="AA10" i="36"/>
  <c r="Z10" i="36"/>
  <c r="Y10" i="36"/>
  <c r="X10" i="36"/>
  <c r="W10" i="36"/>
  <c r="U10" i="36"/>
  <c r="V10" i="36"/>
  <c r="C9" i="18"/>
  <c r="E9" i="18"/>
  <c r="D9" i="18"/>
  <c r="A6" i="18"/>
  <c r="A7" i="18" s="1"/>
  <c r="N8" i="36" l="1"/>
  <c r="N9" i="36" s="1"/>
  <c r="N10" i="36" s="1"/>
  <c r="G9" i="18"/>
  <c r="G10" i="18" s="1"/>
  <c r="Q6" i="18"/>
  <c r="Q8" i="18" s="1"/>
  <c r="Q9" i="18" s="1"/>
  <c r="P6" i="18"/>
  <c r="P8" i="18" s="1"/>
  <c r="P9" i="18" s="1"/>
  <c r="S6" i="18"/>
  <c r="S8" i="18" s="1"/>
  <c r="S9" i="18" s="1"/>
  <c r="O6" i="18"/>
  <c r="O8" i="18" s="1"/>
  <c r="O9" i="18" s="1"/>
  <c r="R6" i="18"/>
  <c r="R8" i="18" s="1"/>
  <c r="R9" i="18" s="1"/>
  <c r="N6" i="18"/>
  <c r="N8" i="18" s="1"/>
  <c r="N9" i="18" s="1"/>
  <c r="P8" i="36"/>
  <c r="P9" i="36" s="1"/>
  <c r="P10" i="36" s="1"/>
  <c r="R8" i="36"/>
  <c r="R9" i="36" s="1"/>
  <c r="R10" i="36" s="1"/>
  <c r="S8" i="36"/>
  <c r="Q8" i="36"/>
  <c r="O8" i="36"/>
  <c r="B9" i="18"/>
  <c r="G35" i="30"/>
  <c r="J10" i="36"/>
  <c r="L10" i="36"/>
  <c r="X10" i="18"/>
  <c r="H10" i="36"/>
  <c r="V10" i="18"/>
  <c r="T10" i="36"/>
  <c r="M10" i="36"/>
  <c r="W10" i="18"/>
  <c r="U10" i="18"/>
  <c r="Y10" i="18"/>
  <c r="K10" i="36"/>
  <c r="I10" i="36"/>
  <c r="Z10" i="18"/>
  <c r="T10" i="18"/>
  <c r="M10" i="18"/>
  <c r="H10" i="32"/>
  <c r="Q9" i="36" l="1"/>
  <c r="Q10" i="36" s="1"/>
  <c r="S9" i="36"/>
  <c r="S10" i="36" s="1"/>
  <c r="O9" i="36"/>
  <c r="O10" i="36" s="1"/>
  <c r="I10" i="32"/>
  <c r="I49" i="32" s="1"/>
  <c r="J10" i="32"/>
  <c r="K10" i="32" s="1"/>
  <c r="H29" i="32"/>
  <c r="H35" i="32"/>
  <c r="H19" i="32"/>
  <c r="H14" i="32"/>
  <c r="H34" i="32"/>
  <c r="H9" i="32"/>
  <c r="J36" i="32"/>
  <c r="K36" i="32" s="1"/>
  <c r="K75" i="32" s="1"/>
  <c r="H24" i="32"/>
  <c r="I35" i="30"/>
  <c r="P10" i="18"/>
  <c r="Q10" i="18"/>
  <c r="S10" i="18"/>
  <c r="K10" i="18"/>
  <c r="H10" i="18"/>
  <c r="L10" i="18"/>
  <c r="I10" i="18"/>
  <c r="J10" i="18"/>
  <c r="N10" i="18"/>
  <c r="S11" i="27" l="1"/>
  <c r="K49" i="32"/>
  <c r="F36" i="32"/>
  <c r="F75" i="32" s="1"/>
  <c r="E37" i="32"/>
  <c r="S37" i="27"/>
  <c r="AB10" i="36"/>
  <c r="I34" i="32"/>
  <c r="I73" i="32" s="1"/>
  <c r="J34" i="32"/>
  <c r="K34" i="32" s="1"/>
  <c r="I19" i="32"/>
  <c r="I58" i="32" s="1"/>
  <c r="J19" i="32"/>
  <c r="K19" i="32" s="1"/>
  <c r="I29" i="32"/>
  <c r="I68" i="32" s="1"/>
  <c r="J29" i="32"/>
  <c r="K29" i="32" s="1"/>
  <c r="I9" i="32"/>
  <c r="I48" i="32" s="1"/>
  <c r="J9" i="32"/>
  <c r="H37" i="32"/>
  <c r="I14" i="32"/>
  <c r="I53" i="32" s="1"/>
  <c r="J14" i="32"/>
  <c r="K14" i="32" s="1"/>
  <c r="I35" i="32"/>
  <c r="I74" i="32" s="1"/>
  <c r="J35" i="32"/>
  <c r="K35" i="32" s="1"/>
  <c r="I24" i="32"/>
  <c r="I63" i="32" s="1"/>
  <c r="J24" i="32"/>
  <c r="K24" i="32" s="1"/>
  <c r="R10" i="18"/>
  <c r="O10" i="18"/>
  <c r="S20" i="27" l="1"/>
  <c r="K58" i="32"/>
  <c r="S30" i="27"/>
  <c r="K68" i="32"/>
  <c r="S35" i="27"/>
  <c r="K73" i="32"/>
  <c r="S36" i="27"/>
  <c r="K74" i="32"/>
  <c r="S25" i="27"/>
  <c r="K63" i="32"/>
  <c r="S15" i="27"/>
  <c r="K53" i="32"/>
  <c r="K9" i="32"/>
  <c r="J37" i="32"/>
  <c r="B43" i="36"/>
  <c r="C43" i="36" s="1"/>
  <c r="B15" i="36"/>
  <c r="B31" i="36"/>
  <c r="D37" i="32"/>
  <c r="B34" i="36"/>
  <c r="C34" i="36" s="1"/>
  <c r="B37" i="36"/>
  <c r="C37" i="36" s="1"/>
  <c r="B40" i="36"/>
  <c r="C40" i="36" s="1"/>
  <c r="B44" i="36"/>
  <c r="C44" i="36" s="1"/>
  <c r="B23" i="36"/>
  <c r="C23" i="36" s="1"/>
  <c r="B32" i="36"/>
  <c r="C32" i="36" s="1"/>
  <c r="B38" i="36"/>
  <c r="C38" i="36" s="1"/>
  <c r="B29" i="36"/>
  <c r="C29" i="36" s="1"/>
  <c r="B28" i="36"/>
  <c r="C28" i="36" s="1"/>
  <c r="B33" i="36"/>
  <c r="C33" i="36" s="1"/>
  <c r="B39" i="36"/>
  <c r="C39" i="36" s="1"/>
  <c r="B19" i="36"/>
  <c r="C19" i="36" s="1"/>
  <c r="B26" i="36"/>
  <c r="C26" i="36" s="1"/>
  <c r="B24" i="36"/>
  <c r="C24" i="36" s="1"/>
  <c r="B22" i="36"/>
  <c r="C22" i="36" s="1"/>
  <c r="B20" i="36"/>
  <c r="C20" i="36" s="1"/>
  <c r="B18" i="36"/>
  <c r="C18" i="36" s="1"/>
  <c r="B35" i="36"/>
  <c r="C35" i="36" s="1"/>
  <c r="B16" i="36"/>
  <c r="C16" i="36" s="1"/>
  <c r="B17" i="36"/>
  <c r="C17" i="36" s="1"/>
  <c r="B14" i="36"/>
  <c r="B27" i="36"/>
  <c r="C27" i="36" s="1"/>
  <c r="B42" i="36"/>
  <c r="C42" i="36" s="1"/>
  <c r="B21" i="36"/>
  <c r="C21" i="36" s="1"/>
  <c r="B30" i="36"/>
  <c r="C30" i="36" s="1"/>
  <c r="B36" i="36"/>
  <c r="C36" i="36" s="1"/>
  <c r="B41" i="36"/>
  <c r="C41" i="36" s="1"/>
  <c r="B13" i="36"/>
  <c r="B25" i="36"/>
  <c r="C25" i="36" s="1"/>
  <c r="AB10" i="18"/>
  <c r="Q37" i="32"/>
  <c r="F37" i="32"/>
  <c r="F76" i="32" s="1"/>
  <c r="I37" i="32"/>
  <c r="I76" i="32" s="1"/>
  <c r="S10" i="27" l="1"/>
  <c r="S38" i="27" s="1"/>
  <c r="K48" i="32"/>
  <c r="C31" i="36"/>
  <c r="D31" i="36" s="1"/>
  <c r="C15" i="36"/>
  <c r="D15" i="36" s="1"/>
  <c r="E15" i="36" s="1"/>
  <c r="D43" i="36"/>
  <c r="B13" i="18"/>
  <c r="B15" i="18"/>
  <c r="D42" i="36"/>
  <c r="E42" i="36" s="1"/>
  <c r="D17" i="36"/>
  <c r="E17" i="36" s="1"/>
  <c r="D18" i="36"/>
  <c r="E18" i="36" s="1"/>
  <c r="D26" i="36"/>
  <c r="E26" i="36" s="1"/>
  <c r="D28" i="36"/>
  <c r="E28" i="36" s="1"/>
  <c r="D23" i="36"/>
  <c r="E23" i="36" s="1"/>
  <c r="D37" i="36"/>
  <c r="E37" i="36" s="1"/>
  <c r="D27" i="36"/>
  <c r="E27" i="36" s="1"/>
  <c r="D16" i="36"/>
  <c r="E16" i="36" s="1"/>
  <c r="D20" i="36"/>
  <c r="E20" i="36" s="1"/>
  <c r="D19" i="36"/>
  <c r="E19" i="36" s="1"/>
  <c r="D29" i="36"/>
  <c r="E29" i="36" s="1"/>
  <c r="D44" i="36"/>
  <c r="E44" i="36" s="1"/>
  <c r="D34" i="36"/>
  <c r="E34" i="36" s="1"/>
  <c r="D25" i="36"/>
  <c r="E25" i="36" s="1"/>
  <c r="D22" i="36"/>
  <c r="E22" i="36" s="1"/>
  <c r="D39" i="36"/>
  <c r="E39" i="36" s="1"/>
  <c r="D38" i="36"/>
  <c r="E38" i="36" s="1"/>
  <c r="D40" i="36"/>
  <c r="E40" i="36" s="1"/>
  <c r="C13" i="36"/>
  <c r="D13" i="36" s="1"/>
  <c r="E13" i="36" s="1"/>
  <c r="D21" i="36"/>
  <c r="E21" i="36" s="1"/>
  <c r="C14" i="36"/>
  <c r="D14" i="36" s="1"/>
  <c r="E14" i="36" s="1"/>
  <c r="D35" i="36"/>
  <c r="E35" i="36" s="1"/>
  <c r="D24" i="36"/>
  <c r="E24" i="36" s="1"/>
  <c r="D33" i="36"/>
  <c r="E33" i="36" s="1"/>
  <c r="D32" i="36"/>
  <c r="E32" i="36" s="1"/>
  <c r="D41" i="36"/>
  <c r="E41" i="36" s="1"/>
  <c r="D36" i="36"/>
  <c r="E36" i="36" s="1"/>
  <c r="D30" i="36"/>
  <c r="E30" i="36" s="1"/>
  <c r="K37" i="32"/>
  <c r="K76" i="32" s="1"/>
  <c r="B45" i="36"/>
  <c r="P37" i="32"/>
  <c r="C32" i="25"/>
  <c r="C28" i="25"/>
  <c r="C24" i="25"/>
  <c r="C20" i="25"/>
  <c r="C16" i="25"/>
  <c r="C12" i="25"/>
  <c r="C8" i="25"/>
  <c r="C4" i="25"/>
  <c r="C34" i="25"/>
  <c r="C26" i="25"/>
  <c r="C22" i="25"/>
  <c r="C14" i="25"/>
  <c r="C6" i="25"/>
  <c r="C31" i="25"/>
  <c r="C27" i="25"/>
  <c r="C23" i="25"/>
  <c r="C19" i="25"/>
  <c r="C15" i="25"/>
  <c r="C11" i="25"/>
  <c r="C7" i="25"/>
  <c r="C3" i="25"/>
  <c r="C30" i="25"/>
  <c r="C18" i="25"/>
  <c r="C10" i="25"/>
  <c r="C33" i="25"/>
  <c r="C17" i="25"/>
  <c r="C21" i="25"/>
  <c r="C29" i="25"/>
  <c r="C13" i="25"/>
  <c r="C25" i="25"/>
  <c r="C9" i="25"/>
  <c r="C5" i="25"/>
  <c r="B25" i="18"/>
  <c r="C25" i="18" s="1"/>
  <c r="B16" i="18"/>
  <c r="C16" i="18" s="1"/>
  <c r="B37" i="18"/>
  <c r="C37" i="18" s="1"/>
  <c r="B35" i="18"/>
  <c r="C35" i="18" s="1"/>
  <c r="B41" i="18"/>
  <c r="C41" i="18" s="1"/>
  <c r="B34" i="18"/>
  <c r="C34" i="18" s="1"/>
  <c r="B21" i="18"/>
  <c r="C21" i="18" s="1"/>
  <c r="B36" i="18"/>
  <c r="C36" i="18" s="1"/>
  <c r="B17" i="18"/>
  <c r="C17" i="18" s="1"/>
  <c r="B26" i="18"/>
  <c r="C26" i="18" s="1"/>
  <c r="B24" i="18"/>
  <c r="C24" i="18" s="1"/>
  <c r="B20" i="18"/>
  <c r="C20" i="18" s="1"/>
  <c r="B18" i="18"/>
  <c r="C18" i="18" s="1"/>
  <c r="B27" i="18"/>
  <c r="C27" i="18" s="1"/>
  <c r="B40" i="18"/>
  <c r="C40" i="18" s="1"/>
  <c r="B39" i="18"/>
  <c r="C39" i="18" s="1"/>
  <c r="B29" i="18"/>
  <c r="C29" i="18" s="1"/>
  <c r="B33" i="18"/>
  <c r="C33" i="18" s="1"/>
  <c r="B44" i="18"/>
  <c r="C44" i="18" s="1"/>
  <c r="B14" i="18"/>
  <c r="B31" i="18"/>
  <c r="C31" i="18" s="1"/>
  <c r="B23" i="18"/>
  <c r="C23" i="18" s="1"/>
  <c r="B43" i="18"/>
  <c r="C43" i="18" s="1"/>
  <c r="B22" i="18"/>
  <c r="C22" i="18" s="1"/>
  <c r="B32" i="18"/>
  <c r="B42" i="18"/>
  <c r="C42" i="18" s="1"/>
  <c r="B30" i="18"/>
  <c r="C30" i="18" s="1"/>
  <c r="B28" i="18"/>
  <c r="C28" i="18" s="1"/>
  <c r="B38" i="18"/>
  <c r="C38" i="18" s="1"/>
  <c r="B19" i="18"/>
  <c r="C19" i="18" s="1"/>
  <c r="D16" i="4"/>
  <c r="E43" i="36" l="1"/>
  <c r="E31" i="36"/>
  <c r="C32" i="18"/>
  <c r="D32" i="18" s="1"/>
  <c r="E32" i="18" s="1"/>
  <c r="C15" i="18"/>
  <c r="D15" i="18" s="1"/>
  <c r="E15" i="18" s="1"/>
  <c r="C45" i="36"/>
  <c r="AO10" i="8"/>
  <c r="AV10" i="8"/>
  <c r="C13" i="18"/>
  <c r="D13" i="18" s="1"/>
  <c r="E13" i="18" s="1"/>
  <c r="B45" i="18"/>
  <c r="D45" i="36"/>
  <c r="C34" i="22"/>
  <c r="C30" i="22"/>
  <c r="C26" i="22"/>
  <c r="C22" i="22"/>
  <c r="C18" i="22"/>
  <c r="C14" i="22"/>
  <c r="C10" i="22"/>
  <c r="C6" i="22"/>
  <c r="C33" i="22"/>
  <c r="C29" i="22"/>
  <c r="C25" i="22"/>
  <c r="C21" i="22"/>
  <c r="C17" i="22"/>
  <c r="C13" i="22"/>
  <c r="C9" i="22"/>
  <c r="C5" i="22"/>
  <c r="C32" i="22"/>
  <c r="C31" i="22"/>
  <c r="C23" i="22"/>
  <c r="C15" i="22"/>
  <c r="C7" i="22"/>
  <c r="C27" i="22"/>
  <c r="C11" i="22"/>
  <c r="C8" i="22"/>
  <c r="C28" i="22"/>
  <c r="C20" i="22"/>
  <c r="C12" i="22"/>
  <c r="C4" i="22"/>
  <c r="C19" i="22"/>
  <c r="C3" i="22"/>
  <c r="C24" i="22"/>
  <c r="C16" i="22"/>
  <c r="D30" i="18"/>
  <c r="E30" i="18" s="1"/>
  <c r="D43" i="18"/>
  <c r="E43" i="18" s="1"/>
  <c r="D44" i="18"/>
  <c r="E44" i="18" s="1"/>
  <c r="D40" i="18"/>
  <c r="E40" i="18" s="1"/>
  <c r="D36" i="18"/>
  <c r="E36" i="18" s="1"/>
  <c r="D35" i="18"/>
  <c r="E35" i="18" s="1"/>
  <c r="D19" i="18"/>
  <c r="E19" i="18" s="1"/>
  <c r="D42" i="18"/>
  <c r="E42" i="18" s="1"/>
  <c r="D23" i="18"/>
  <c r="E23" i="18" s="1"/>
  <c r="D33" i="18"/>
  <c r="E33" i="18" s="1"/>
  <c r="D27" i="18"/>
  <c r="E27" i="18" s="1"/>
  <c r="D24" i="18"/>
  <c r="E24" i="18" s="1"/>
  <c r="D21" i="18"/>
  <c r="E21" i="18" s="1"/>
  <c r="D37" i="18"/>
  <c r="E37" i="18" s="1"/>
  <c r="D38" i="18"/>
  <c r="E38" i="18" s="1"/>
  <c r="D31" i="18"/>
  <c r="E31" i="18" s="1"/>
  <c r="D29" i="18"/>
  <c r="E29" i="18" s="1"/>
  <c r="D18" i="18"/>
  <c r="E18" i="18" s="1"/>
  <c r="D26" i="18"/>
  <c r="E26" i="18" s="1"/>
  <c r="D34" i="18"/>
  <c r="E34" i="18" s="1"/>
  <c r="D16" i="18"/>
  <c r="E16" i="18" s="1"/>
  <c r="D28" i="18"/>
  <c r="E28" i="18" s="1"/>
  <c r="D22" i="18"/>
  <c r="E22" i="18" s="1"/>
  <c r="C14" i="18"/>
  <c r="D14" i="18" s="1"/>
  <c r="E14" i="18" s="1"/>
  <c r="D39" i="18"/>
  <c r="E39" i="18" s="1"/>
  <c r="D20" i="18"/>
  <c r="E20" i="18" s="1"/>
  <c r="D17" i="18"/>
  <c r="E17" i="18" s="1"/>
  <c r="D41" i="18"/>
  <c r="E41" i="18" s="1"/>
  <c r="D25" i="18"/>
  <c r="E25" i="18" s="1"/>
  <c r="D14" i="4"/>
  <c r="D17" i="4"/>
  <c r="D13" i="4"/>
  <c r="Q25" i="27" l="1"/>
  <c r="Q8" i="27"/>
  <c r="AY10" i="8"/>
  <c r="C45" i="18"/>
  <c r="D45" i="18"/>
  <c r="P38" i="27"/>
  <c r="E45" i="36"/>
  <c r="Q9" i="27" l="1"/>
  <c r="Q15" i="27"/>
  <c r="Q16" i="27"/>
  <c r="Q19" i="27"/>
  <c r="Q18" i="27"/>
  <c r="Q17" i="27"/>
  <c r="Q13" i="27"/>
  <c r="Q26" i="27"/>
  <c r="Q7" i="27"/>
  <c r="Q24" i="27"/>
  <c r="Q23" i="27"/>
  <c r="Q22" i="27"/>
  <c r="Q11" i="27"/>
  <c r="Q27" i="27"/>
  <c r="Q12" i="27"/>
  <c r="Q10" i="27"/>
  <c r="Q21" i="27"/>
  <c r="Q20" i="27"/>
  <c r="Q14" i="27"/>
  <c r="E45" i="18"/>
  <c r="K6" i="4"/>
  <c r="Q6" i="27" l="1"/>
  <c r="Q38" i="27" s="1"/>
  <c r="AV37" i="8" l="1"/>
  <c r="AO37" i="8"/>
  <c r="AV38" i="8" l="1"/>
  <c r="AO38" i="8"/>
  <c r="AY37" i="8"/>
  <c r="AP37" i="8"/>
  <c r="AS37" i="8" l="1"/>
  <c r="AY38" i="8"/>
  <c r="AP38" i="8"/>
  <c r="AS38" i="8" l="1"/>
  <c r="BI37" i="12" l="1"/>
  <c r="X37" i="8"/>
  <c r="AE37" i="8"/>
  <c r="G37" i="12" l="1"/>
  <c r="X38" i="8"/>
  <c r="AE38" i="8"/>
  <c r="AH37" i="8"/>
  <c r="Y37" i="8"/>
  <c r="BK37" i="12"/>
  <c r="BJ37" i="12"/>
  <c r="G19" i="4"/>
  <c r="P33" i="7" l="1"/>
  <c r="O33" i="7"/>
  <c r="G38" i="12"/>
  <c r="BI38" i="12"/>
  <c r="AH38" i="8"/>
  <c r="AB37" i="8"/>
  <c r="Z37" i="12"/>
  <c r="Y38" i="8"/>
  <c r="B5" i="5"/>
  <c r="B4" i="5"/>
  <c r="G9" i="4"/>
  <c r="G10" i="4"/>
  <c r="G11" i="4"/>
  <c r="G12" i="4"/>
  <c r="G13" i="4"/>
  <c r="G14" i="4"/>
  <c r="G15" i="4"/>
  <c r="G16" i="4"/>
  <c r="G17" i="4"/>
  <c r="G18" i="4"/>
  <c r="G20" i="4"/>
  <c r="E23" i="4"/>
  <c r="D23" i="4"/>
  <c r="C23" i="4"/>
  <c r="B23" i="4"/>
  <c r="C3" i="8" l="1"/>
  <c r="C4" i="8" s="1"/>
  <c r="C5" i="8" s="1"/>
  <c r="C6" i="8" s="1"/>
  <c r="C7" i="8" s="1"/>
  <c r="C8" i="8" s="1"/>
  <c r="C9" i="8" s="1"/>
  <c r="C5" i="5"/>
  <c r="C3" i="12"/>
  <c r="D3" i="8"/>
  <c r="C4" i="5"/>
  <c r="G5" i="5"/>
  <c r="O34" i="7"/>
  <c r="Q33" i="7"/>
  <c r="R33" i="7" s="1"/>
  <c r="S33" i="7" s="1"/>
  <c r="S72" i="7" s="1"/>
  <c r="P34" i="7"/>
  <c r="BK38" i="12"/>
  <c r="BJ38" i="12"/>
  <c r="G4" i="5"/>
  <c r="G6" i="5" s="1"/>
  <c r="G7" i="5" s="1"/>
  <c r="D4" i="8"/>
  <c r="D5" i="8" s="1"/>
  <c r="D6" i="8" s="1"/>
  <c r="D7" i="8" s="1"/>
  <c r="D8" i="8" s="1"/>
  <c r="D9" i="8" s="1"/>
  <c r="BM37" i="12"/>
  <c r="BL37" i="12"/>
  <c r="AB38" i="8"/>
  <c r="I9" i="4"/>
  <c r="F7" i="4"/>
  <c r="I13" i="4"/>
  <c r="I15" i="4"/>
  <c r="I18" i="4"/>
  <c r="I11" i="4"/>
  <c r="I16" i="4"/>
  <c r="I10" i="4"/>
  <c r="I14" i="4"/>
  <c r="I19" i="4"/>
  <c r="I12" i="4"/>
  <c r="I17" i="4"/>
  <c r="B16" i="5"/>
  <c r="D5" i="5" l="1"/>
  <c r="U3" i="8"/>
  <c r="U4" i="8" s="1"/>
  <c r="U5" i="8" s="1"/>
  <c r="U6" i="8" s="1"/>
  <c r="U7" i="8" s="1"/>
  <c r="U8" i="8" s="1"/>
  <c r="V3" i="12"/>
  <c r="V4" i="12" s="1"/>
  <c r="V5" i="12" s="1"/>
  <c r="V6" i="12" s="1"/>
  <c r="V7" i="12" s="1"/>
  <c r="V8" i="12" s="1"/>
  <c r="D4" i="5"/>
  <c r="D16" i="5" s="1"/>
  <c r="T3" i="8"/>
  <c r="D10" i="8"/>
  <c r="D11" i="8" s="1"/>
  <c r="D12" i="8" s="1"/>
  <c r="P12" i="8" s="1"/>
  <c r="J12" i="8" s="1"/>
  <c r="P9" i="8"/>
  <c r="O9" i="8"/>
  <c r="C10" i="8"/>
  <c r="C11" i="8" s="1"/>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Q34" i="7"/>
  <c r="R34" i="7" s="1"/>
  <c r="S34" i="7" s="1"/>
  <c r="S73" i="7" s="1"/>
  <c r="I5" i="5"/>
  <c r="H5" i="5"/>
  <c r="C12" i="5"/>
  <c r="C11" i="5"/>
  <c r="U4" i="12"/>
  <c r="U5" i="12" s="1"/>
  <c r="U6" i="12" s="1"/>
  <c r="U7" i="12" s="1"/>
  <c r="U8" i="12" s="1"/>
  <c r="C16" i="5"/>
  <c r="T4" i="8"/>
  <c r="T5" i="8" s="1"/>
  <c r="T6" i="8" s="1"/>
  <c r="T7" i="8" s="1"/>
  <c r="T8" i="8" s="1"/>
  <c r="H4" i="5"/>
  <c r="H6" i="5" s="1"/>
  <c r="G11" i="5"/>
  <c r="G14" i="5" s="1"/>
  <c r="G8" i="5"/>
  <c r="G28" i="5" s="1"/>
  <c r="G9" i="5"/>
  <c r="Z38" i="12"/>
  <c r="G16" i="5"/>
  <c r="E5" i="5"/>
  <c r="C38" i="19"/>
  <c r="BT37" i="12"/>
  <c r="E4" i="5" l="1"/>
  <c r="D13" i="8"/>
  <c r="D14" i="8" s="1"/>
  <c r="D15" i="8" s="1"/>
  <c r="D16" i="8" s="1"/>
  <c r="D17" i="8" s="1"/>
  <c r="D18" i="8" s="1"/>
  <c r="D19" i="8" s="1"/>
  <c r="D20" i="8" s="1"/>
  <c r="D21" i="8" s="1"/>
  <c r="D22" i="8" s="1"/>
  <c r="D23" i="8" s="1"/>
  <c r="D24" i="8" s="1"/>
  <c r="D25" i="8" s="1"/>
  <c r="D26" i="8" s="1"/>
  <c r="D27" i="8" s="1"/>
  <c r="D28" i="8" s="1"/>
  <c r="D29" i="8" s="1"/>
  <c r="D30" i="8" s="1"/>
  <c r="D31" i="8" s="1"/>
  <c r="D32" i="8" s="1"/>
  <c r="D33" i="8" s="1"/>
  <c r="D34" i="8" s="1"/>
  <c r="D35" i="8" s="1"/>
  <c r="D36" i="8" s="1"/>
  <c r="D37" i="8" s="1"/>
  <c r="D38" i="8" s="1"/>
  <c r="I4" i="5"/>
  <c r="I6" i="5" s="1"/>
  <c r="AK3" i="8"/>
  <c r="AK4" i="8" s="1"/>
  <c r="AK5" i="8" s="1"/>
  <c r="AK6" i="8" s="1"/>
  <c r="AK7" i="8" s="1"/>
  <c r="AK8" i="8" s="1"/>
  <c r="AK9" i="8" s="1"/>
  <c r="AK10" i="8" s="1"/>
  <c r="AK11" i="8" s="1"/>
  <c r="AK12" i="8" s="1"/>
  <c r="AK13" i="8" s="1"/>
  <c r="AK14" i="8" s="1"/>
  <c r="AK15" i="8" s="1"/>
  <c r="AK16" i="8" s="1"/>
  <c r="AK17" i="8" s="1"/>
  <c r="AK18" i="8" s="1"/>
  <c r="AK19" i="8" s="1"/>
  <c r="AK20" i="8" s="1"/>
  <c r="AK21" i="8" s="1"/>
  <c r="AK22" i="8" s="1"/>
  <c r="AK23" i="8" s="1"/>
  <c r="AK24" i="8" s="1"/>
  <c r="AK25" i="8" s="1"/>
  <c r="AK26" i="8" s="1"/>
  <c r="AK27" i="8" s="1"/>
  <c r="AK28" i="8" s="1"/>
  <c r="AK29" i="8" s="1"/>
  <c r="AK30" i="8" s="1"/>
  <c r="AK31" i="8" s="1"/>
  <c r="AK32" i="8" s="1"/>
  <c r="AK33" i="8" s="1"/>
  <c r="AK34" i="8" s="1"/>
  <c r="AK35" i="8" s="1"/>
  <c r="AK36" i="8" s="1"/>
  <c r="AK37" i="8" s="1"/>
  <c r="AK38" i="8" s="1"/>
  <c r="AN3" i="12"/>
  <c r="AN4" i="12" s="1"/>
  <c r="AN5" i="12" s="1"/>
  <c r="AN6" i="12" s="1"/>
  <c r="AN7" i="12" s="1"/>
  <c r="AN8" i="12" s="1"/>
  <c r="AN9" i="12" s="1"/>
  <c r="AN10" i="12" s="1"/>
  <c r="AN11" i="12" s="1"/>
  <c r="AN12" i="12" s="1"/>
  <c r="AN13" i="12" s="1"/>
  <c r="AN14" i="12" s="1"/>
  <c r="AN15" i="12" s="1"/>
  <c r="AN16" i="12" s="1"/>
  <c r="AN17" i="12" s="1"/>
  <c r="AN18" i="12" s="1"/>
  <c r="AN19" i="12" s="1"/>
  <c r="AN20" i="12" s="1"/>
  <c r="AN21" i="12" s="1"/>
  <c r="AN22" i="12" s="1"/>
  <c r="AN23" i="12" s="1"/>
  <c r="AN24" i="12" s="1"/>
  <c r="AN25" i="12" s="1"/>
  <c r="AN26" i="12" s="1"/>
  <c r="AN27" i="12" s="1"/>
  <c r="AN28" i="12" s="1"/>
  <c r="AN29" i="12" s="1"/>
  <c r="AN30" i="12" s="1"/>
  <c r="AN31" i="12" s="1"/>
  <c r="AN32" i="12" s="1"/>
  <c r="AN33" i="12" s="1"/>
  <c r="AN34" i="12" s="1"/>
  <c r="AN35" i="12" s="1"/>
  <c r="AN36" i="12" s="1"/>
  <c r="AN37" i="12" s="1"/>
  <c r="AN38" i="12" s="1"/>
  <c r="AO3" i="12"/>
  <c r="AO4" i="12" s="1"/>
  <c r="AO5" i="12" s="1"/>
  <c r="AO6" i="12" s="1"/>
  <c r="AO7" i="12" s="1"/>
  <c r="AO8" i="12" s="1"/>
  <c r="AO9" i="12" s="1"/>
  <c r="AL3" i="8"/>
  <c r="AL4" i="8" s="1"/>
  <c r="AL5" i="8" s="1"/>
  <c r="AL6" i="8" s="1"/>
  <c r="AL7" i="8" s="1"/>
  <c r="AL8" i="8" s="1"/>
  <c r="AW8" i="8" s="1"/>
  <c r="O12" i="8"/>
  <c r="I12" i="8" s="1"/>
  <c r="U9" i="12"/>
  <c r="V9" i="12"/>
  <c r="R9" i="8"/>
  <c r="I9" i="8"/>
  <c r="I6" i="16" s="1"/>
  <c r="K6" i="16" s="1"/>
  <c r="L6" i="16" s="1"/>
  <c r="L44" i="16" s="1"/>
  <c r="U9" i="8"/>
  <c r="U10" i="8" s="1"/>
  <c r="U11" i="8" s="1"/>
  <c r="U12" i="8" s="1"/>
  <c r="U13" i="8" s="1"/>
  <c r="U14" i="8" s="1"/>
  <c r="U15" i="8" s="1"/>
  <c r="U16" i="8" s="1"/>
  <c r="U17" i="8" s="1"/>
  <c r="U18" i="8" s="1"/>
  <c r="U19" i="8" s="1"/>
  <c r="U20" i="8" s="1"/>
  <c r="U21" i="8" s="1"/>
  <c r="U22" i="8" s="1"/>
  <c r="U23" i="8" s="1"/>
  <c r="U24" i="8" s="1"/>
  <c r="U25" i="8" s="1"/>
  <c r="U26" i="8" s="1"/>
  <c r="U27" i="8" s="1"/>
  <c r="U28" i="8" s="1"/>
  <c r="U29" i="8" s="1"/>
  <c r="U30" i="8" s="1"/>
  <c r="U31" i="8" s="1"/>
  <c r="U32" i="8" s="1"/>
  <c r="U33" i="8" s="1"/>
  <c r="U34" i="8" s="1"/>
  <c r="U35" i="8" s="1"/>
  <c r="U36" i="8" s="1"/>
  <c r="U37" i="8" s="1"/>
  <c r="AG37" i="8" s="1"/>
  <c r="S9" i="8"/>
  <c r="J9" i="8"/>
  <c r="T9" i="8"/>
  <c r="H7" i="5"/>
  <c r="H11" i="5" s="1"/>
  <c r="H19" i="5" s="1"/>
  <c r="H9" i="5"/>
  <c r="H8" i="5"/>
  <c r="E16" i="5"/>
  <c r="J5" i="5"/>
  <c r="H16" i="5"/>
  <c r="AS37" i="12"/>
  <c r="AS38" i="12"/>
  <c r="C20" i="5"/>
  <c r="C15" i="5"/>
  <c r="C24" i="5" s="1"/>
  <c r="C27" i="5" s="1"/>
  <c r="H28" i="5"/>
  <c r="C14" i="5"/>
  <c r="C23" i="5" s="1"/>
  <c r="C26" i="5" s="1"/>
  <c r="C28" i="5" s="1"/>
  <c r="C19" i="5"/>
  <c r="BI10" i="12"/>
  <c r="BI35" i="12"/>
  <c r="BI5" i="12"/>
  <c r="BL38" i="12"/>
  <c r="BM38" i="12"/>
  <c r="C39" i="19" s="1"/>
  <c r="BI22" i="12"/>
  <c r="BI28" i="12"/>
  <c r="BI4" i="12"/>
  <c r="BI11" i="12"/>
  <c r="BI6" i="12"/>
  <c r="BI14" i="12"/>
  <c r="BI29" i="12"/>
  <c r="BI27" i="12"/>
  <c r="BI12" i="12"/>
  <c r="BI34" i="12"/>
  <c r="BI25" i="12"/>
  <c r="BI15" i="12"/>
  <c r="BI8" i="12"/>
  <c r="BI13" i="12"/>
  <c r="BI32" i="12"/>
  <c r="BI19" i="12"/>
  <c r="BI7" i="12"/>
  <c r="B11" i="5"/>
  <c r="B19" i="5" s="1"/>
  <c r="BI33" i="12"/>
  <c r="BI31" i="12"/>
  <c r="BI30" i="12"/>
  <c r="BI24" i="12"/>
  <c r="BI23" i="12"/>
  <c r="BI20" i="12"/>
  <c r="BI16" i="12"/>
  <c r="BI36" i="12"/>
  <c r="BI18" i="12"/>
  <c r="BI26" i="12"/>
  <c r="BI21" i="12"/>
  <c r="BI17" i="12"/>
  <c r="BI3" i="12"/>
  <c r="BT38" i="12"/>
  <c r="BQ37" i="12"/>
  <c r="BW37" i="12"/>
  <c r="AV7" i="8"/>
  <c r="AV8" i="8"/>
  <c r="AV32" i="8"/>
  <c r="AO32" i="8"/>
  <c r="AV6" i="8"/>
  <c r="AV14" i="8"/>
  <c r="AO14" i="8"/>
  <c r="AV15" i="8"/>
  <c r="AO15" i="8"/>
  <c r="AV21" i="8"/>
  <c r="AO21" i="8"/>
  <c r="AV34" i="8"/>
  <c r="AO34" i="8"/>
  <c r="AV12" i="8"/>
  <c r="AO12" i="8"/>
  <c r="AV13" i="8"/>
  <c r="AO13" i="8"/>
  <c r="AV29" i="8"/>
  <c r="AO29" i="8"/>
  <c r="AV18" i="8"/>
  <c r="AO18" i="8"/>
  <c r="AV36" i="8"/>
  <c r="AO36" i="8"/>
  <c r="AV27" i="8"/>
  <c r="AO27" i="8"/>
  <c r="AV25" i="8"/>
  <c r="AO25" i="8"/>
  <c r="AV4" i="8"/>
  <c r="AV24" i="8"/>
  <c r="AO24" i="8"/>
  <c r="AV17" i="8"/>
  <c r="AO17" i="8"/>
  <c r="AV33" i="8"/>
  <c r="AO33" i="8"/>
  <c r="AV26" i="8"/>
  <c r="AO26" i="8"/>
  <c r="AV19" i="8"/>
  <c r="AO19" i="8"/>
  <c r="AV22" i="8"/>
  <c r="AO22" i="8"/>
  <c r="AV30" i="8"/>
  <c r="AO30" i="8"/>
  <c r="AV23" i="8"/>
  <c r="AO23" i="8"/>
  <c r="AV5" i="8"/>
  <c r="AV31" i="8"/>
  <c r="AO31" i="8"/>
  <c r="AV16" i="8"/>
  <c r="AO16" i="8"/>
  <c r="AV28" i="8"/>
  <c r="AO28" i="8"/>
  <c r="AV11" i="8"/>
  <c r="AO11" i="8"/>
  <c r="AV3" i="8"/>
  <c r="AV20" i="8"/>
  <c r="AO20" i="8"/>
  <c r="AV35" i="8"/>
  <c r="AO35" i="8"/>
  <c r="E8" i="5"/>
  <c r="B21" i="5"/>
  <c r="D21" i="5"/>
  <c r="BJ36" i="12"/>
  <c r="D11" i="5"/>
  <c r="D12" i="5"/>
  <c r="D10" i="5"/>
  <c r="G17" i="5"/>
  <c r="G21" i="5"/>
  <c r="G12" i="5"/>
  <c r="G15" i="5" s="1"/>
  <c r="G10" i="5"/>
  <c r="G13" i="5" s="1"/>
  <c r="AX3" i="8" l="1"/>
  <c r="AW4" i="8"/>
  <c r="AQ4" i="8" s="1"/>
  <c r="AX8" i="8"/>
  <c r="AR8" i="8" s="1"/>
  <c r="AL9" i="8"/>
  <c r="AL10" i="8" s="1"/>
  <c r="AL11" i="8" s="1"/>
  <c r="AL12" i="8" s="1"/>
  <c r="AL13" i="8" s="1"/>
  <c r="AL14" i="8" s="1"/>
  <c r="AL15" i="8" s="1"/>
  <c r="AL16" i="8" s="1"/>
  <c r="AL17" i="8" s="1"/>
  <c r="AL18" i="8" s="1"/>
  <c r="AL19" i="8" s="1"/>
  <c r="AL20" i="8" s="1"/>
  <c r="AL21" i="8" s="1"/>
  <c r="AL22" i="8" s="1"/>
  <c r="AL23" i="8" s="1"/>
  <c r="AL24" i="8" s="1"/>
  <c r="AL25" i="8" s="1"/>
  <c r="AL26" i="8" s="1"/>
  <c r="AL27" i="8" s="1"/>
  <c r="AL28" i="8" s="1"/>
  <c r="AL29" i="8" s="1"/>
  <c r="AL30" i="8" s="1"/>
  <c r="AL31" i="8" s="1"/>
  <c r="AL32" i="8" s="1"/>
  <c r="AL33" i="8" s="1"/>
  <c r="AL34" i="8" s="1"/>
  <c r="AL35" i="8" s="1"/>
  <c r="AL36" i="8" s="1"/>
  <c r="AL37" i="8" s="1"/>
  <c r="AW37" i="8" s="1"/>
  <c r="I7" i="5"/>
  <c r="I8" i="5"/>
  <c r="I9" i="5"/>
  <c r="J9" i="5" s="1"/>
  <c r="AX5" i="8"/>
  <c r="AR5" i="8" s="1"/>
  <c r="AX4" i="8"/>
  <c r="AR4" i="8" s="1"/>
  <c r="AW3" i="8"/>
  <c r="AQ3" i="8" s="1"/>
  <c r="AW5" i="8"/>
  <c r="AQ5" i="8" s="1"/>
  <c r="AW6" i="8"/>
  <c r="AQ6" i="8" s="1"/>
  <c r="AW7" i="8"/>
  <c r="AQ7" i="8" s="1"/>
  <c r="J4" i="5"/>
  <c r="I16" i="5"/>
  <c r="AX6" i="8"/>
  <c r="AR6" i="8" s="1"/>
  <c r="AX7" i="8"/>
  <c r="AR7" i="8" s="1"/>
  <c r="BC9" i="12"/>
  <c r="AO10" i="12"/>
  <c r="AO11" i="12" s="1"/>
  <c r="AO12" i="12" s="1"/>
  <c r="AO13" i="12" s="1"/>
  <c r="AO14" i="12" s="1"/>
  <c r="AO15" i="12" s="1"/>
  <c r="AO16" i="12" s="1"/>
  <c r="AO17" i="12" s="1"/>
  <c r="AO18" i="12" s="1"/>
  <c r="AO19" i="12" s="1"/>
  <c r="AO20" i="12" s="1"/>
  <c r="AO21" i="12" s="1"/>
  <c r="AO22" i="12" s="1"/>
  <c r="AO23" i="12" s="1"/>
  <c r="AO24" i="12" s="1"/>
  <c r="AO25" i="12" s="1"/>
  <c r="AO26" i="12" s="1"/>
  <c r="AO27" i="12" s="1"/>
  <c r="AO28" i="12" s="1"/>
  <c r="AO29" i="12" s="1"/>
  <c r="AO30" i="12" s="1"/>
  <c r="AO31" i="12" s="1"/>
  <c r="AO32" i="12" s="1"/>
  <c r="AO33" i="12" s="1"/>
  <c r="AO34" i="12" s="1"/>
  <c r="AO35" i="12" s="1"/>
  <c r="AO36" i="12" s="1"/>
  <c r="AO37" i="12" s="1"/>
  <c r="AO38" i="12" s="1"/>
  <c r="BB38" i="12" s="1"/>
  <c r="BB9" i="12"/>
  <c r="V10" i="12"/>
  <c r="V11" i="12" s="1"/>
  <c r="V12" i="12" s="1"/>
  <c r="V13" i="12" s="1"/>
  <c r="V14" i="12" s="1"/>
  <c r="V15" i="12" s="1"/>
  <c r="V16" i="12" s="1"/>
  <c r="V17" i="12" s="1"/>
  <c r="V18" i="12" s="1"/>
  <c r="V19" i="12" s="1"/>
  <c r="V20" i="12" s="1"/>
  <c r="V21" i="12" s="1"/>
  <c r="V22" i="12" s="1"/>
  <c r="V23" i="12" s="1"/>
  <c r="V24" i="12" s="1"/>
  <c r="V25" i="12" s="1"/>
  <c r="V26" i="12" s="1"/>
  <c r="V27" i="12" s="1"/>
  <c r="V28" i="12" s="1"/>
  <c r="V29" i="12" s="1"/>
  <c r="V30" i="12" s="1"/>
  <c r="V31" i="12" s="1"/>
  <c r="V32" i="12" s="1"/>
  <c r="V33" i="12" s="1"/>
  <c r="V34" i="12" s="1"/>
  <c r="V35" i="12" s="1"/>
  <c r="V36" i="12" s="1"/>
  <c r="V37" i="12" s="1"/>
  <c r="U10" i="12"/>
  <c r="U11" i="12" s="1"/>
  <c r="U12" i="12" s="1"/>
  <c r="U13" i="12" s="1"/>
  <c r="U14" i="12" s="1"/>
  <c r="U15" i="12" s="1"/>
  <c r="U16" i="12" s="1"/>
  <c r="U17" i="12" s="1"/>
  <c r="U18" i="12" s="1"/>
  <c r="U19" i="12" s="1"/>
  <c r="U20" i="12" s="1"/>
  <c r="U21" i="12" s="1"/>
  <c r="U22" i="12" s="1"/>
  <c r="U23" i="12" s="1"/>
  <c r="U24" i="12" s="1"/>
  <c r="U25" i="12" s="1"/>
  <c r="U26" i="12" s="1"/>
  <c r="U27" i="12" s="1"/>
  <c r="U28" i="12" s="1"/>
  <c r="U29" i="12" s="1"/>
  <c r="U30" i="12" s="1"/>
  <c r="U31" i="12" s="1"/>
  <c r="U32" i="12" s="1"/>
  <c r="U33" i="12" s="1"/>
  <c r="U34" i="12" s="1"/>
  <c r="U35" i="12" s="1"/>
  <c r="U36" i="12" s="1"/>
  <c r="U37" i="12" s="1"/>
  <c r="U38" i="12" s="1"/>
  <c r="BB9" i="8"/>
  <c r="AW10" i="8"/>
  <c r="AZ10" i="8" s="1"/>
  <c r="AT10" i="8" s="1"/>
  <c r="AF37" i="8"/>
  <c r="Z37" i="8" s="1"/>
  <c r="M9" i="8"/>
  <c r="U38" i="8"/>
  <c r="AG38" i="8" s="1"/>
  <c r="AG9" i="8"/>
  <c r="AF9" i="8"/>
  <c r="T10" i="8"/>
  <c r="T11" i="8" s="1"/>
  <c r="T12" i="8" s="1"/>
  <c r="T13" i="8" s="1"/>
  <c r="T14" i="8" s="1"/>
  <c r="T15" i="8" s="1"/>
  <c r="T16" i="8" s="1"/>
  <c r="T17" i="8" s="1"/>
  <c r="T18" i="8" s="1"/>
  <c r="T19" i="8" s="1"/>
  <c r="T20" i="8" s="1"/>
  <c r="T21" i="8" s="1"/>
  <c r="T22" i="8" s="1"/>
  <c r="T23" i="8" s="1"/>
  <c r="T24" i="8" s="1"/>
  <c r="T25" i="8" s="1"/>
  <c r="T26" i="8" s="1"/>
  <c r="T27" i="8" s="1"/>
  <c r="T28" i="8" s="1"/>
  <c r="T29" i="8" s="1"/>
  <c r="T30" i="8" s="1"/>
  <c r="T31" i="8" s="1"/>
  <c r="T32" i="8" s="1"/>
  <c r="T33" i="8" s="1"/>
  <c r="T34" i="8" s="1"/>
  <c r="T35" i="8" s="1"/>
  <c r="T36" i="8" s="1"/>
  <c r="T37" i="8" s="1"/>
  <c r="T38" i="8" s="1"/>
  <c r="AX9" i="8"/>
  <c r="L9" i="8"/>
  <c r="J16" i="5"/>
  <c r="BA38" i="12"/>
  <c r="AU38" i="12" s="1"/>
  <c r="AT38" i="12"/>
  <c r="AT37" i="12"/>
  <c r="BA37" i="12"/>
  <c r="AU37" i="12" s="1"/>
  <c r="J6" i="5"/>
  <c r="AJ37" i="8"/>
  <c r="AD37" i="8" s="1"/>
  <c r="AA37" i="8"/>
  <c r="BJ13" i="12"/>
  <c r="BJ5" i="12"/>
  <c r="BK34" i="12"/>
  <c r="B10" i="5"/>
  <c r="B18" i="5" s="1"/>
  <c r="BK5" i="12"/>
  <c r="BK17" i="12"/>
  <c r="BK4" i="12"/>
  <c r="BJ3" i="12"/>
  <c r="BJ18" i="12"/>
  <c r="BJ24" i="12"/>
  <c r="B12" i="5"/>
  <c r="B20" i="5" s="1"/>
  <c r="BK26" i="12"/>
  <c r="BK29" i="12"/>
  <c r="BK3" i="12"/>
  <c r="BK18" i="12"/>
  <c r="E17" i="5"/>
  <c r="BK8" i="12"/>
  <c r="BJ26" i="12"/>
  <c r="BK11" i="12"/>
  <c r="BK36" i="12"/>
  <c r="BJ23" i="12"/>
  <c r="BJ14" i="12"/>
  <c r="BK30" i="12"/>
  <c r="BJ25" i="12"/>
  <c r="BJ7" i="12"/>
  <c r="BK13" i="12"/>
  <c r="BJ30" i="12"/>
  <c r="BJ35" i="12"/>
  <c r="BJ12" i="12"/>
  <c r="BK27" i="12"/>
  <c r="BJ32" i="12"/>
  <c r="BK21" i="12"/>
  <c r="BJ34" i="12"/>
  <c r="BJ22" i="12"/>
  <c r="BJ6" i="12"/>
  <c r="BJ10" i="12"/>
  <c r="BJ20" i="12"/>
  <c r="BK23" i="12"/>
  <c r="BK12" i="12"/>
  <c r="BJ31" i="12"/>
  <c r="H21" i="5"/>
  <c r="BK10" i="12"/>
  <c r="BK20" i="12"/>
  <c r="BK15" i="12"/>
  <c r="BJ8" i="12"/>
  <c r="BJ11" i="12"/>
  <c r="BK7" i="12"/>
  <c r="BJ17" i="12"/>
  <c r="BJ29" i="12"/>
  <c r="BK22" i="12"/>
  <c r="BK6" i="12"/>
  <c r="BK24" i="12"/>
  <c r="BK25" i="12"/>
  <c r="BK33" i="12"/>
  <c r="BJ15" i="12"/>
  <c r="BK16" i="12"/>
  <c r="BJ19" i="12"/>
  <c r="BK31" i="12"/>
  <c r="BJ4" i="12"/>
  <c r="BK35" i="12"/>
  <c r="BJ21" i="12"/>
  <c r="BJ27" i="12"/>
  <c r="BK28" i="12"/>
  <c r="BK32" i="12"/>
  <c r="BK14" i="12"/>
  <c r="BJ28" i="12"/>
  <c r="BJ33" i="12"/>
  <c r="BJ16" i="12"/>
  <c r="BK19" i="12"/>
  <c r="AE5" i="8"/>
  <c r="Y5" i="8" s="1"/>
  <c r="AG5" i="8"/>
  <c r="AA5" i="8" s="1"/>
  <c r="AF5" i="8"/>
  <c r="Z5" i="8" s="1"/>
  <c r="X16" i="8"/>
  <c r="AE16" i="8"/>
  <c r="AH16" i="8" s="1"/>
  <c r="AG16" i="8"/>
  <c r="AF16" i="8"/>
  <c r="AI16" i="8" s="1"/>
  <c r="X20" i="8"/>
  <c r="AE20" i="8"/>
  <c r="AH20" i="8" s="1"/>
  <c r="AF20" i="8"/>
  <c r="AI20" i="8" s="1"/>
  <c r="AG20" i="8"/>
  <c r="AJ20" i="8" s="1"/>
  <c r="X27" i="8"/>
  <c r="AE27" i="8"/>
  <c r="AH27" i="8" s="1"/>
  <c r="AG27" i="8"/>
  <c r="AJ27" i="8" s="1"/>
  <c r="AF27" i="8"/>
  <c r="AI27" i="8" s="1"/>
  <c r="X31" i="8"/>
  <c r="AE31" i="8"/>
  <c r="AH31" i="8" s="1"/>
  <c r="AF31" i="8"/>
  <c r="AI31" i="8" s="1"/>
  <c r="AG31" i="8"/>
  <c r="AJ31" i="8" s="1"/>
  <c r="X13" i="8"/>
  <c r="AE13" i="8"/>
  <c r="AH13" i="8" s="1"/>
  <c r="AG13" i="8"/>
  <c r="AJ13" i="8" s="1"/>
  <c r="AF13" i="8"/>
  <c r="AI13" i="8" s="1"/>
  <c r="AE4" i="8"/>
  <c r="Y4" i="8" s="1"/>
  <c r="AG4" i="8"/>
  <c r="AA4" i="8" s="1"/>
  <c r="AF4" i="8"/>
  <c r="X24" i="8"/>
  <c r="AE24" i="8"/>
  <c r="AH24" i="8" s="1"/>
  <c r="AF24" i="8"/>
  <c r="AI24" i="8" s="1"/>
  <c r="AG24" i="8"/>
  <c r="AJ24" i="8" s="1"/>
  <c r="AE6" i="8"/>
  <c r="Y6" i="8" s="1"/>
  <c r="AF6" i="8"/>
  <c r="Z6" i="8" s="1"/>
  <c r="AG6" i="8"/>
  <c r="AA6" i="8" s="1"/>
  <c r="X11" i="8"/>
  <c r="AE11" i="8"/>
  <c r="AH11" i="8" s="1"/>
  <c r="AG11" i="8"/>
  <c r="AJ11" i="8" s="1"/>
  <c r="AF11" i="8"/>
  <c r="AI11" i="8" s="1"/>
  <c r="X18" i="8"/>
  <c r="AE18" i="8"/>
  <c r="AF18" i="8"/>
  <c r="AI18" i="8" s="1"/>
  <c r="AG18" i="8"/>
  <c r="AJ18" i="8" s="1"/>
  <c r="X19" i="8"/>
  <c r="AE19" i="8"/>
  <c r="AH19" i="8" s="1"/>
  <c r="AG19" i="8"/>
  <c r="AJ19" i="8" s="1"/>
  <c r="AF19" i="8"/>
  <c r="AI19" i="8" s="1"/>
  <c r="X28" i="8"/>
  <c r="AE28" i="8"/>
  <c r="AG28" i="8"/>
  <c r="AJ28" i="8" s="1"/>
  <c r="AF28" i="8"/>
  <c r="AI28" i="8" s="1"/>
  <c r="X35" i="8"/>
  <c r="AE35" i="8"/>
  <c r="AF35" i="8"/>
  <c r="AI35" i="8" s="1"/>
  <c r="AG35" i="8"/>
  <c r="AJ35" i="8" s="1"/>
  <c r="X14" i="8"/>
  <c r="AE14" i="8"/>
  <c r="AF14" i="8"/>
  <c r="AI14" i="8" s="1"/>
  <c r="AG14" i="8"/>
  <c r="AJ14" i="8" s="1"/>
  <c r="X30" i="8"/>
  <c r="AE30" i="8"/>
  <c r="AH30" i="8" s="1"/>
  <c r="AG30" i="8"/>
  <c r="AJ30" i="8" s="1"/>
  <c r="AF30" i="8"/>
  <c r="AI30" i="8" s="1"/>
  <c r="AE3" i="8"/>
  <c r="Y3" i="8" s="1"/>
  <c r="AF3" i="8"/>
  <c r="AG3" i="8"/>
  <c r="AA3" i="8" s="1"/>
  <c r="AE8" i="8"/>
  <c r="Y8" i="8" s="1"/>
  <c r="AG8" i="8"/>
  <c r="AA8" i="8" s="1"/>
  <c r="AF8" i="8"/>
  <c r="Z8" i="8" s="1"/>
  <c r="AE10" i="8"/>
  <c r="Y10" i="8" s="1"/>
  <c r="AF10" i="8"/>
  <c r="AG10" i="8"/>
  <c r="AA10" i="8" s="1"/>
  <c r="X23" i="8"/>
  <c r="AE23" i="8"/>
  <c r="AF23" i="8"/>
  <c r="AI23" i="8" s="1"/>
  <c r="AG23" i="8"/>
  <c r="AJ23" i="8" s="1"/>
  <c r="X22" i="8"/>
  <c r="AE22" i="8"/>
  <c r="AH22" i="8" s="1"/>
  <c r="AG22" i="8"/>
  <c r="AF22" i="8"/>
  <c r="AI22" i="8" s="1"/>
  <c r="X21" i="8"/>
  <c r="AE21" i="8"/>
  <c r="AF21" i="8"/>
  <c r="AG21" i="8"/>
  <c r="AJ21" i="8" s="1"/>
  <c r="X33" i="8"/>
  <c r="AE33" i="8"/>
  <c r="Y33" i="8" s="1"/>
  <c r="AG33" i="8"/>
  <c r="AJ33" i="8" s="1"/>
  <c r="AF33" i="8"/>
  <c r="AI33" i="8" s="1"/>
  <c r="X29" i="8"/>
  <c r="AE29" i="8"/>
  <c r="AF29" i="8"/>
  <c r="AI29" i="8" s="1"/>
  <c r="AG29" i="8"/>
  <c r="AJ29" i="8" s="1"/>
  <c r="X32" i="8"/>
  <c r="AE32" i="8"/>
  <c r="AH32" i="8" s="1"/>
  <c r="AG32" i="8"/>
  <c r="AJ32" i="8" s="1"/>
  <c r="AF32" i="8"/>
  <c r="AI32" i="8" s="1"/>
  <c r="AE7" i="8"/>
  <c r="AF7" i="8"/>
  <c r="Z7" i="8" s="1"/>
  <c r="AG7" i="8"/>
  <c r="X12" i="8"/>
  <c r="AE12" i="8"/>
  <c r="AG12" i="8"/>
  <c r="AF12" i="8"/>
  <c r="AI12" i="8" s="1"/>
  <c r="X17" i="8"/>
  <c r="AE17" i="8"/>
  <c r="AG17" i="8"/>
  <c r="AF17" i="8"/>
  <c r="AI17" i="8" s="1"/>
  <c r="X26" i="8"/>
  <c r="AE26" i="8"/>
  <c r="AF26" i="8"/>
  <c r="Z26" i="8" s="1"/>
  <c r="AG26" i="8"/>
  <c r="AJ26" i="8" s="1"/>
  <c r="X36" i="8"/>
  <c r="AE36" i="8"/>
  <c r="AF36" i="8"/>
  <c r="AI36" i="8" s="1"/>
  <c r="AG36" i="8"/>
  <c r="AJ36" i="8" s="1"/>
  <c r="BQ38" i="12"/>
  <c r="BW38" i="12"/>
  <c r="X15" i="8"/>
  <c r="AE15" i="8"/>
  <c r="AH15" i="8" s="1"/>
  <c r="AF15" i="8"/>
  <c r="AI15" i="8" s="1"/>
  <c r="AG15" i="8"/>
  <c r="X25" i="8"/>
  <c r="AE25" i="8"/>
  <c r="AH25" i="8" s="1"/>
  <c r="AG25" i="8"/>
  <c r="AF25" i="8"/>
  <c r="X34" i="8"/>
  <c r="AE34" i="8"/>
  <c r="AH34" i="8" s="1"/>
  <c r="AG34" i="8"/>
  <c r="AJ34" i="8" s="1"/>
  <c r="AF34" i="8"/>
  <c r="AY28" i="8"/>
  <c r="AY30" i="8"/>
  <c r="AY13" i="8"/>
  <c r="AY15" i="8"/>
  <c r="AY22" i="8"/>
  <c r="AY17" i="8"/>
  <c r="AY32" i="8"/>
  <c r="AY11" i="8"/>
  <c r="AY23" i="8"/>
  <c r="AY26" i="8"/>
  <c r="AY25" i="8"/>
  <c r="AY29" i="8"/>
  <c r="AY21" i="8"/>
  <c r="AY33" i="8"/>
  <c r="AY27" i="8"/>
  <c r="AY35" i="8"/>
  <c r="AY16" i="8"/>
  <c r="AY36" i="8"/>
  <c r="AY12" i="8"/>
  <c r="AY14" i="8"/>
  <c r="AY20" i="8"/>
  <c r="AY31" i="8"/>
  <c r="AY19" i="8"/>
  <c r="AY24" i="8"/>
  <c r="AY18" i="8"/>
  <c r="AY34" i="8"/>
  <c r="H10" i="5"/>
  <c r="H18" i="5" s="1"/>
  <c r="H12" i="5"/>
  <c r="H17" i="5"/>
  <c r="E7" i="5"/>
  <c r="AS8" i="12"/>
  <c r="AS14" i="12"/>
  <c r="AS30" i="12"/>
  <c r="AS31" i="12"/>
  <c r="AS34" i="12"/>
  <c r="AS32" i="12"/>
  <c r="G26" i="12"/>
  <c r="O22" i="7" s="1"/>
  <c r="E21" i="5"/>
  <c r="Z5" i="12"/>
  <c r="AS6" i="12"/>
  <c r="AS29" i="12"/>
  <c r="Z30" i="12"/>
  <c r="G35" i="12"/>
  <c r="O31" i="7" s="1"/>
  <c r="G21" i="12"/>
  <c r="AS7" i="12"/>
  <c r="AS19" i="12"/>
  <c r="AS28" i="12"/>
  <c r="Z36" i="12"/>
  <c r="Z4" i="12"/>
  <c r="G7" i="12"/>
  <c r="AS15" i="12"/>
  <c r="AS17" i="12"/>
  <c r="Z33" i="12"/>
  <c r="AS10" i="12"/>
  <c r="Z15" i="12"/>
  <c r="Z16" i="12"/>
  <c r="AS11" i="12"/>
  <c r="AS26" i="12"/>
  <c r="Z29" i="12"/>
  <c r="G20" i="12"/>
  <c r="O16" i="7" s="1"/>
  <c r="AS24" i="12"/>
  <c r="G12" i="12"/>
  <c r="AS22" i="12"/>
  <c r="Z25" i="12"/>
  <c r="AS18" i="12"/>
  <c r="Z28" i="12"/>
  <c r="Z32" i="12"/>
  <c r="G11" i="12"/>
  <c r="O7" i="7" s="1"/>
  <c r="AP20" i="8"/>
  <c r="AQ8" i="8"/>
  <c r="G28" i="12"/>
  <c r="AP29" i="8"/>
  <c r="AP10" i="8"/>
  <c r="AP15" i="8"/>
  <c r="Z12" i="12"/>
  <c r="Z14" i="12"/>
  <c r="AP19" i="8"/>
  <c r="G17" i="12"/>
  <c r="Z34" i="12"/>
  <c r="G32" i="12"/>
  <c r="AP27" i="8"/>
  <c r="Z3" i="12"/>
  <c r="AS13" i="12"/>
  <c r="G15" i="12"/>
  <c r="AS16" i="12"/>
  <c r="AP28" i="8"/>
  <c r="AS27" i="12"/>
  <c r="E9" i="5"/>
  <c r="AP35" i="8"/>
  <c r="D15" i="5"/>
  <c r="D24" i="5" s="1"/>
  <c r="D27" i="5" s="1"/>
  <c r="D20" i="5"/>
  <c r="AP8" i="8"/>
  <c r="AP26" i="8"/>
  <c r="Z7" i="12"/>
  <c r="G16" i="12"/>
  <c r="G22" i="12"/>
  <c r="G24" i="12"/>
  <c r="AS33" i="12"/>
  <c r="Z22" i="12"/>
  <c r="AP25" i="8"/>
  <c r="AS4" i="12"/>
  <c r="Z20" i="12"/>
  <c r="AS25" i="12"/>
  <c r="AP3" i="8"/>
  <c r="AP21" i="8"/>
  <c r="AP30" i="8"/>
  <c r="G9" i="12"/>
  <c r="O5" i="7" s="1"/>
  <c r="G18" i="12"/>
  <c r="D14" i="5"/>
  <c r="D23" i="5" s="1"/>
  <c r="D26" i="5" s="1"/>
  <c r="D28" i="5" s="1"/>
  <c r="D19" i="5"/>
  <c r="G4" i="12"/>
  <c r="Z11" i="12"/>
  <c r="AP33" i="8"/>
  <c r="AP16" i="8"/>
  <c r="AP13" i="8"/>
  <c r="Z6" i="12"/>
  <c r="G29" i="12"/>
  <c r="Z35" i="12"/>
  <c r="AR3" i="8"/>
  <c r="AP14" i="8"/>
  <c r="G25" i="12"/>
  <c r="D13" i="5"/>
  <c r="D22" i="5" s="1"/>
  <c r="D25" i="5" s="1"/>
  <c r="D18" i="5"/>
  <c r="AP7" i="8"/>
  <c r="Z8" i="12"/>
  <c r="Z17" i="12"/>
  <c r="Z26" i="12"/>
  <c r="AP11" i="8"/>
  <c r="G8" i="12"/>
  <c r="AP36" i="8"/>
  <c r="AS3" i="12"/>
  <c r="G19" i="12"/>
  <c r="Z23" i="12"/>
  <c r="AP22" i="8"/>
  <c r="G5" i="12"/>
  <c r="Z21" i="12"/>
  <c r="G34" i="12"/>
  <c r="G36" i="12"/>
  <c r="AP31" i="8"/>
  <c r="G23" i="12"/>
  <c r="Z31" i="12"/>
  <c r="AP6" i="8"/>
  <c r="AP32" i="8"/>
  <c r="G10" i="12"/>
  <c r="Z13" i="12"/>
  <c r="G14" i="12"/>
  <c r="AS20" i="12"/>
  <c r="G31" i="12"/>
  <c r="AS36" i="12"/>
  <c r="AP5" i="8"/>
  <c r="G27" i="12"/>
  <c r="AP24" i="8"/>
  <c r="AP4" i="8"/>
  <c r="AP18" i="8"/>
  <c r="AS5" i="12"/>
  <c r="Z10" i="12"/>
  <c r="Z18" i="12"/>
  <c r="AS23" i="12"/>
  <c r="Z24" i="12"/>
  <c r="G33" i="12"/>
  <c r="AP12" i="8"/>
  <c r="AP34" i="8"/>
  <c r="G6" i="12"/>
  <c r="G13" i="12"/>
  <c r="Z19" i="12"/>
  <c r="AS21" i="12"/>
  <c r="Z27" i="12"/>
  <c r="G30" i="12"/>
  <c r="AS35" i="12"/>
  <c r="AP17" i="8"/>
  <c r="AP23" i="8"/>
  <c r="AS12" i="12"/>
  <c r="H14" i="5"/>
  <c r="H23" i="5" s="1"/>
  <c r="B14" i="5"/>
  <c r="G18" i="5"/>
  <c r="G19" i="5"/>
  <c r="G20" i="5"/>
  <c r="AW9" i="8" l="1"/>
  <c r="AX10" i="8"/>
  <c r="BA10" i="8" s="1"/>
  <c r="AU10" i="8" s="1"/>
  <c r="BC9" i="8"/>
  <c r="AX33" i="8"/>
  <c r="AR33" i="8" s="1"/>
  <c r="BE38" i="12"/>
  <c r="AV38" i="12"/>
  <c r="BF9" i="12"/>
  <c r="AZ9" i="12" s="1"/>
  <c r="AW9" i="12"/>
  <c r="BB37" i="12"/>
  <c r="AV37" i="12" s="1"/>
  <c r="BE9" i="12"/>
  <c r="AY9" i="12" s="1"/>
  <c r="AV9" i="12"/>
  <c r="BC38" i="12"/>
  <c r="BF38" i="12" s="1"/>
  <c r="AZ38" i="12" s="1"/>
  <c r="B23" i="5"/>
  <c r="B26" i="5" s="1"/>
  <c r="B28" i="5" s="1"/>
  <c r="AL38" i="8"/>
  <c r="AW38" i="8" s="1"/>
  <c r="AW21" i="8"/>
  <c r="AQ21" i="8" s="1"/>
  <c r="BC37" i="12"/>
  <c r="AX28" i="8"/>
  <c r="AR28" i="8" s="1"/>
  <c r="AX21" i="8"/>
  <c r="AR21" i="8" s="1"/>
  <c r="AX24" i="8"/>
  <c r="BA24" i="8" s="1"/>
  <c r="AU24" i="8" s="1"/>
  <c r="AW18" i="8"/>
  <c r="AZ18" i="8" s="1"/>
  <c r="AW32" i="8"/>
  <c r="AZ32" i="8" s="1"/>
  <c r="AT32" i="8" s="1"/>
  <c r="AX37" i="8"/>
  <c r="BA37" i="8" s="1"/>
  <c r="AU37" i="8" s="1"/>
  <c r="AW34" i="8"/>
  <c r="AZ34" i="8" s="1"/>
  <c r="AT34" i="8" s="1"/>
  <c r="AW35" i="8"/>
  <c r="AZ35" i="8" s="1"/>
  <c r="AT35" i="8" s="1"/>
  <c r="AX22" i="8"/>
  <c r="AR22" i="8" s="1"/>
  <c r="AX25" i="8"/>
  <c r="AR25" i="8" s="1"/>
  <c r="AX18" i="8"/>
  <c r="AW25" i="8"/>
  <c r="AQ25" i="8" s="1"/>
  <c r="AX14" i="8"/>
  <c r="BA14" i="8" s="1"/>
  <c r="AU14" i="8" s="1"/>
  <c r="AW24" i="8"/>
  <c r="AQ24" i="8" s="1"/>
  <c r="AQ10" i="8"/>
  <c r="AX27" i="8"/>
  <c r="BA27" i="8" s="1"/>
  <c r="AU27" i="8" s="1"/>
  <c r="AX32" i="8"/>
  <c r="BA32" i="8" s="1"/>
  <c r="AU32" i="8" s="1"/>
  <c r="AW19" i="8"/>
  <c r="AZ19" i="8" s="1"/>
  <c r="AT19" i="8" s="1"/>
  <c r="AW31" i="8"/>
  <c r="AZ31" i="8" s="1"/>
  <c r="AT31" i="8" s="1"/>
  <c r="V38" i="12"/>
  <c r="BL9" i="12"/>
  <c r="AR10" i="8"/>
  <c r="AF38" i="8"/>
  <c r="AI38" i="8" s="1"/>
  <c r="AC38" i="8" s="1"/>
  <c r="AW15" i="8"/>
  <c r="AZ15" i="8" s="1"/>
  <c r="AT15" i="8" s="1"/>
  <c r="AW29" i="8"/>
  <c r="AZ29" i="8" s="1"/>
  <c r="AT29" i="8" s="1"/>
  <c r="AX30" i="8"/>
  <c r="BA30" i="8" s="1"/>
  <c r="AU30" i="8" s="1"/>
  <c r="AX20" i="8"/>
  <c r="BA20" i="8" s="1"/>
  <c r="AU20" i="8" s="1"/>
  <c r="AW33" i="8"/>
  <c r="AZ33" i="8" s="1"/>
  <c r="AT33" i="8" s="1"/>
  <c r="AX35" i="8"/>
  <c r="BA35" i="8" s="1"/>
  <c r="AU35" i="8" s="1"/>
  <c r="AX19" i="8"/>
  <c r="BA19" i="8" s="1"/>
  <c r="AU19" i="8" s="1"/>
  <c r="AW16" i="8"/>
  <c r="AZ16" i="8" s="1"/>
  <c r="AT16" i="8" s="1"/>
  <c r="AW11" i="8"/>
  <c r="AQ11" i="8" s="1"/>
  <c r="AX23" i="8"/>
  <c r="BA23" i="8" s="1"/>
  <c r="AX31" i="8"/>
  <c r="AR31" i="8" s="1"/>
  <c r="AW13" i="8"/>
  <c r="AZ13" i="8" s="1"/>
  <c r="AT13" i="8" s="1"/>
  <c r="AW22" i="8"/>
  <c r="AQ22" i="8" s="1"/>
  <c r="AX16" i="8"/>
  <c r="AR16" i="8" s="1"/>
  <c r="AX36" i="8"/>
  <c r="BA36" i="8" s="1"/>
  <c r="AU36" i="8" s="1"/>
  <c r="AW17" i="8"/>
  <c r="AQ17" i="8" s="1"/>
  <c r="AW30" i="8"/>
  <c r="AQ30" i="8" s="1"/>
  <c r="AW26" i="8"/>
  <c r="AQ26" i="8" s="1"/>
  <c r="AX13" i="8"/>
  <c r="BA13" i="8" s="1"/>
  <c r="AU13" i="8" s="1"/>
  <c r="AX29" i="8"/>
  <c r="AR29" i="8" s="1"/>
  <c r="AW14" i="8"/>
  <c r="AQ14" i="8" s="1"/>
  <c r="AW12" i="8"/>
  <c r="AQ12" i="8" s="1"/>
  <c r="AW36" i="8"/>
  <c r="AZ36" i="8" s="1"/>
  <c r="AT36" i="8" s="1"/>
  <c r="AW23" i="8"/>
  <c r="AQ23" i="8" s="1"/>
  <c r="AX11" i="8"/>
  <c r="BA11" i="8" s="1"/>
  <c r="AU11" i="8" s="1"/>
  <c r="AX34" i="8"/>
  <c r="AR34" i="8" s="1"/>
  <c r="AX15" i="8"/>
  <c r="AR15" i="8" s="1"/>
  <c r="AX26" i="8"/>
  <c r="BA26" i="8" s="1"/>
  <c r="AU26" i="8" s="1"/>
  <c r="AW20" i="8"/>
  <c r="AQ20" i="8" s="1"/>
  <c r="AX17" i="8"/>
  <c r="AR17" i="8" s="1"/>
  <c r="AW28" i="8"/>
  <c r="AQ28" i="8" s="1"/>
  <c r="AX12" i="8"/>
  <c r="BA12" i="8" s="1"/>
  <c r="AU12" i="8" s="1"/>
  <c r="AW27" i="8"/>
  <c r="AZ27" i="8" s="1"/>
  <c r="AT27" i="8" s="1"/>
  <c r="AI37" i="8"/>
  <c r="AC37" i="8" s="1"/>
  <c r="AJ9" i="8"/>
  <c r="AA9" i="8"/>
  <c r="BO9" i="8"/>
  <c r="AZ9" i="8"/>
  <c r="AT9" i="8" s="1"/>
  <c r="AQ9" i="8"/>
  <c r="AR9" i="8"/>
  <c r="BA9" i="8"/>
  <c r="AU9" i="8" s="1"/>
  <c r="Z9" i="8"/>
  <c r="AI9" i="8"/>
  <c r="BN9" i="8"/>
  <c r="AZ11" i="8"/>
  <c r="AT11" i="8" s="1"/>
  <c r="E10" i="5"/>
  <c r="BE37" i="12"/>
  <c r="AY37" i="12" s="1"/>
  <c r="B13" i="5"/>
  <c r="B22" i="5" s="1"/>
  <c r="B25" i="5" s="1"/>
  <c r="B15" i="5"/>
  <c r="B24" i="5" s="1"/>
  <c r="BA28" i="8"/>
  <c r="AU28" i="8" s="1"/>
  <c r="AZ30" i="8"/>
  <c r="AT30" i="8" s="1"/>
  <c r="BD37" i="12"/>
  <c r="AX37" i="12" s="1"/>
  <c r="AY38" i="12"/>
  <c r="BD38" i="12"/>
  <c r="AX38" i="12" s="1"/>
  <c r="AQ32" i="8"/>
  <c r="AA38" i="8"/>
  <c r="AJ38" i="8"/>
  <c r="AD38" i="8" s="1"/>
  <c r="AZ37" i="8"/>
  <c r="AT37" i="8" s="1"/>
  <c r="AQ37" i="8"/>
  <c r="J8" i="5"/>
  <c r="I21" i="5"/>
  <c r="J21" i="5" s="1"/>
  <c r="I28" i="5"/>
  <c r="J28" i="5" s="1"/>
  <c r="I11" i="5"/>
  <c r="I10" i="5"/>
  <c r="I12" i="5"/>
  <c r="J12" i="5" s="1"/>
  <c r="I17" i="5"/>
  <c r="J17" i="5" s="1"/>
  <c r="J7" i="5"/>
  <c r="Z20" i="8"/>
  <c r="AA32" i="8"/>
  <c r="Z35" i="8"/>
  <c r="Z13" i="8"/>
  <c r="AD29" i="8"/>
  <c r="AC24" i="8"/>
  <c r="AB13" i="8"/>
  <c r="AD27" i="8"/>
  <c r="Z22" i="8"/>
  <c r="Z31" i="8"/>
  <c r="AA27" i="8"/>
  <c r="AA33" i="8"/>
  <c r="Y31" i="8"/>
  <c r="AB30" i="8"/>
  <c r="AB19" i="8"/>
  <c r="AB11" i="8"/>
  <c r="AB24" i="8"/>
  <c r="AA35" i="8"/>
  <c r="AD23" i="8"/>
  <c r="H26" i="5"/>
  <c r="AD31" i="8"/>
  <c r="AD20" i="8"/>
  <c r="Z24" i="8"/>
  <c r="Y11" i="8"/>
  <c r="AA30" i="8"/>
  <c r="AA11" i="8"/>
  <c r="Y13" i="8"/>
  <c r="AC16" i="8"/>
  <c r="Y24" i="8"/>
  <c r="AA19" i="8"/>
  <c r="AB32" i="8"/>
  <c r="AB22" i="8"/>
  <c r="AD13" i="8"/>
  <c r="AB31" i="8"/>
  <c r="AB27" i="8"/>
  <c r="AB20" i="8"/>
  <c r="AB16" i="8"/>
  <c r="AA36" i="8"/>
  <c r="Y27" i="8"/>
  <c r="AA18" i="8"/>
  <c r="Y32" i="8"/>
  <c r="Y16" i="8"/>
  <c r="AB34" i="8"/>
  <c r="AB25" i="8"/>
  <c r="AB15" i="8"/>
  <c r="AD32" i="8"/>
  <c r="AC29" i="8"/>
  <c r="AD33" i="8"/>
  <c r="AC13" i="8"/>
  <c r="AC31" i="8"/>
  <c r="AC20" i="8"/>
  <c r="Y20" i="8"/>
  <c r="Z17" i="8"/>
  <c r="Z12" i="8"/>
  <c r="O8" i="7"/>
  <c r="P8" i="7"/>
  <c r="P16" i="7"/>
  <c r="Q16" i="7" s="1"/>
  <c r="R16" i="7" s="1"/>
  <c r="S16" i="7" s="1"/>
  <c r="S55" i="7" s="1"/>
  <c r="O17" i="7"/>
  <c r="P17" i="7"/>
  <c r="P22" i="7"/>
  <c r="Q22" i="7" s="1"/>
  <c r="R22" i="7" s="1"/>
  <c r="S22" i="7" s="1"/>
  <c r="S61" i="7" s="1"/>
  <c r="P7" i="7"/>
  <c r="Q7" i="7" s="1"/>
  <c r="R7" i="7" s="1"/>
  <c r="S7" i="7" s="1"/>
  <c r="S46" i="7" s="1"/>
  <c r="P31" i="7"/>
  <c r="Q31" i="7" s="1"/>
  <c r="R31" i="7" s="1"/>
  <c r="S31" i="7" s="1"/>
  <c r="S70" i="7" s="1"/>
  <c r="AD34" i="8"/>
  <c r="AI25" i="8"/>
  <c r="AC25" i="8" s="1"/>
  <c r="AJ15" i="8"/>
  <c r="AD15" i="8" s="1"/>
  <c r="AI26" i="8"/>
  <c r="AC26" i="8" s="1"/>
  <c r="AJ17" i="8"/>
  <c r="AD17" i="8" s="1"/>
  <c r="AA17" i="8"/>
  <c r="AJ12" i="8"/>
  <c r="AD12" i="8" s="1"/>
  <c r="AH29" i="8"/>
  <c r="AB29" i="8" s="1"/>
  <c r="Y29" i="8"/>
  <c r="AH21" i="8"/>
  <c r="AB21" i="8" s="1"/>
  <c r="AH28" i="8"/>
  <c r="AB28" i="8" s="1"/>
  <c r="Y28" i="8"/>
  <c r="AA15" i="8"/>
  <c r="AH36" i="8"/>
  <c r="AB36" i="8" s="1"/>
  <c r="AH26" i="8"/>
  <c r="AB26" i="8" s="1"/>
  <c r="AH17" i="8"/>
  <c r="AB17" i="8" s="1"/>
  <c r="Y17" i="8"/>
  <c r="AH12" i="8"/>
  <c r="Y12" i="8"/>
  <c r="AD28" i="8"/>
  <c r="Z15" i="8"/>
  <c r="Y22" i="8"/>
  <c r="Y36" i="8"/>
  <c r="AD19" i="8"/>
  <c r="Y19" i="8"/>
  <c r="Y7" i="8"/>
  <c r="AI21" i="8"/>
  <c r="AC21" i="8" s="1"/>
  <c r="Z21" i="8"/>
  <c r="AJ22" i="8"/>
  <c r="AD22" i="8" s="1"/>
  <c r="AD24" i="8"/>
  <c r="E18" i="5"/>
  <c r="AI34" i="8"/>
  <c r="Z34" i="8"/>
  <c r="AH33" i="8"/>
  <c r="AB33" i="8" s="1"/>
  <c r="AH14" i="8"/>
  <c r="AB14" i="8" s="1"/>
  <c r="Y14" i="8"/>
  <c r="AH35" i="8"/>
  <c r="AB35" i="8" s="1"/>
  <c r="AH18" i="8"/>
  <c r="AB18" i="8" s="1"/>
  <c r="Y30" i="8"/>
  <c r="Z25" i="8"/>
  <c r="Z36" i="8"/>
  <c r="Y18" i="8"/>
  <c r="AJ25" i="8"/>
  <c r="AD25" i="8" s="1"/>
  <c r="AA25" i="8"/>
  <c r="AD30" i="8"/>
  <c r="Y26" i="8"/>
  <c r="AA12" i="8"/>
  <c r="Y35" i="8"/>
  <c r="Z16" i="8"/>
  <c r="AC18" i="8"/>
  <c r="Z3" i="8"/>
  <c r="Y21" i="8"/>
  <c r="AA34" i="8"/>
  <c r="AH23" i="8"/>
  <c r="AB23" i="8" s="1"/>
  <c r="AJ16" i="8"/>
  <c r="AD16" i="8" s="1"/>
  <c r="AC30" i="8"/>
  <c r="AD14" i="8"/>
  <c r="AD35" i="8"/>
  <c r="AC28" i="8"/>
  <c r="AC19" i="8"/>
  <c r="AD18" i="8"/>
  <c r="AC11" i="8"/>
  <c r="AA7" i="8"/>
  <c r="AA23" i="8"/>
  <c r="AD36" i="8"/>
  <c r="AD26" i="8"/>
  <c r="AC17" i="8"/>
  <c r="AC32" i="8"/>
  <c r="AC33" i="8"/>
  <c r="AD21" i="8"/>
  <c r="AC22" i="8"/>
  <c r="AC23" i="8"/>
  <c r="AC14" i="8"/>
  <c r="AC35" i="8"/>
  <c r="AD11" i="8"/>
  <c r="BL13" i="12"/>
  <c r="BL20" i="12"/>
  <c r="BL8" i="12"/>
  <c r="BL7" i="12"/>
  <c r="BL32" i="12"/>
  <c r="BL33" i="12"/>
  <c r="AI10" i="8"/>
  <c r="BL18" i="12"/>
  <c r="BL26" i="12"/>
  <c r="Y15" i="8"/>
  <c r="Z19" i="8"/>
  <c r="BL22" i="12"/>
  <c r="BL34" i="12"/>
  <c r="Z28" i="8"/>
  <c r="BL21" i="12"/>
  <c r="Z32" i="8"/>
  <c r="BL27" i="12"/>
  <c r="BL19" i="12"/>
  <c r="Z10" i="8"/>
  <c r="BL24" i="12"/>
  <c r="BL10" i="12"/>
  <c r="BL31" i="12"/>
  <c r="AA28" i="8"/>
  <c r="BL35" i="12"/>
  <c r="AC15" i="8"/>
  <c r="Z4" i="8"/>
  <c r="Y34" i="8"/>
  <c r="AA29" i="8"/>
  <c r="Z14" i="8"/>
  <c r="Y25" i="8"/>
  <c r="AA16" i="8"/>
  <c r="BL14" i="12"/>
  <c r="AA13" i="8"/>
  <c r="BL25" i="12"/>
  <c r="BL30" i="12"/>
  <c r="AJ10" i="8"/>
  <c r="BL4" i="12"/>
  <c r="AA21" i="8"/>
  <c r="Z27" i="8"/>
  <c r="AA14" i="8"/>
  <c r="AC12" i="8"/>
  <c r="AC36" i="8"/>
  <c r="Z11" i="8"/>
  <c r="BL28" i="12"/>
  <c r="BL16" i="12"/>
  <c r="BL36" i="12"/>
  <c r="Y23" i="8"/>
  <c r="BL23" i="12"/>
  <c r="BL17" i="12"/>
  <c r="BL6" i="12"/>
  <c r="Z29" i="8"/>
  <c r="BL11" i="12"/>
  <c r="AA31" i="8"/>
  <c r="AA26" i="8"/>
  <c r="Z23" i="8"/>
  <c r="Z18" i="8"/>
  <c r="AA20" i="8"/>
  <c r="Z30" i="8"/>
  <c r="BL3" i="12"/>
  <c r="Z33" i="8"/>
  <c r="AA22" i="8"/>
  <c r="AA24" i="8"/>
  <c r="BL12" i="12"/>
  <c r="BL29" i="12"/>
  <c r="BL15" i="12"/>
  <c r="BL5" i="12"/>
  <c r="AH10" i="8"/>
  <c r="AT18" i="8"/>
  <c r="AT16" i="12"/>
  <c r="BA16" i="12"/>
  <c r="BC16" i="12"/>
  <c r="BB16" i="12"/>
  <c r="BA15" i="12"/>
  <c r="AT15" i="12"/>
  <c r="BC15" i="12"/>
  <c r="BB15" i="12"/>
  <c r="BA31" i="12"/>
  <c r="AT31" i="12"/>
  <c r="BB31" i="12"/>
  <c r="BC31" i="12"/>
  <c r="BA5" i="12"/>
  <c r="AU5" i="12" s="1"/>
  <c r="BC5" i="12"/>
  <c r="AW5" i="12" s="1"/>
  <c r="BB5" i="12"/>
  <c r="AV5" i="12" s="1"/>
  <c r="AT26" i="12"/>
  <c r="BA26" i="12"/>
  <c r="BC26" i="12"/>
  <c r="BB26" i="12"/>
  <c r="AT10" i="12"/>
  <c r="BA10" i="12"/>
  <c r="BC10" i="12"/>
  <c r="BB10" i="12"/>
  <c r="BA30" i="12"/>
  <c r="AT30" i="12"/>
  <c r="BB30" i="12"/>
  <c r="BC30" i="12"/>
  <c r="AT12" i="12"/>
  <c r="BA12" i="12"/>
  <c r="BB12" i="12"/>
  <c r="BC12" i="12"/>
  <c r="BA13" i="12"/>
  <c r="AT13" i="12"/>
  <c r="BC13" i="12"/>
  <c r="BB13" i="12"/>
  <c r="BA7" i="12"/>
  <c r="AU7" i="12" s="1"/>
  <c r="BB7" i="12"/>
  <c r="AV7" i="12" s="1"/>
  <c r="BC7" i="12"/>
  <c r="AW7" i="12" s="1"/>
  <c r="AT18" i="12"/>
  <c r="BA18" i="12"/>
  <c r="BC18" i="12"/>
  <c r="BB18" i="12"/>
  <c r="AT28" i="12"/>
  <c r="BA28" i="12"/>
  <c r="BB28" i="12"/>
  <c r="BC28" i="12"/>
  <c r="BA23" i="12"/>
  <c r="AT23" i="12"/>
  <c r="BB23" i="12"/>
  <c r="BC23" i="12"/>
  <c r="AT20" i="12"/>
  <c r="BA20" i="12"/>
  <c r="BB20" i="12"/>
  <c r="BC20" i="12"/>
  <c r="BA11" i="12"/>
  <c r="AT11" i="12"/>
  <c r="BB11" i="12"/>
  <c r="BC11" i="12"/>
  <c r="BA19" i="12"/>
  <c r="AT19" i="12"/>
  <c r="BC19" i="12"/>
  <c r="BB19" i="12"/>
  <c r="AT32" i="12"/>
  <c r="BA32" i="12"/>
  <c r="BB32" i="12"/>
  <c r="BC32" i="12"/>
  <c r="BA8" i="12"/>
  <c r="AU8" i="12" s="1"/>
  <c r="BB8" i="12"/>
  <c r="AV8" i="12" s="1"/>
  <c r="BC8" i="12"/>
  <c r="AW8" i="12" s="1"/>
  <c r="AT36" i="12"/>
  <c r="BA36" i="12"/>
  <c r="BB36" i="12"/>
  <c r="BC36" i="12"/>
  <c r="BA4" i="12"/>
  <c r="AU4" i="12" s="1"/>
  <c r="BB4" i="12"/>
  <c r="AV4" i="12" s="1"/>
  <c r="BC4" i="12"/>
  <c r="AW4" i="12" s="1"/>
  <c r="BA27" i="12"/>
  <c r="AT27" i="12"/>
  <c r="BC27" i="12"/>
  <c r="BB27" i="12"/>
  <c r="BA22" i="12"/>
  <c r="AT22" i="12"/>
  <c r="BC22" i="12"/>
  <c r="BB22" i="12"/>
  <c r="AT24" i="12"/>
  <c r="BA24" i="12"/>
  <c r="BB24" i="12"/>
  <c r="BC24" i="12"/>
  <c r="AT29" i="12"/>
  <c r="BA29" i="12"/>
  <c r="BC29" i="12"/>
  <c r="BB29" i="12"/>
  <c r="BA14" i="12"/>
  <c r="AT14" i="12"/>
  <c r="BC14" i="12"/>
  <c r="BB14" i="12"/>
  <c r="BA35" i="12"/>
  <c r="AT35" i="12"/>
  <c r="BC35" i="12"/>
  <c r="BB35" i="12"/>
  <c r="AT21" i="12"/>
  <c r="BA21" i="12"/>
  <c r="BC21" i="12"/>
  <c r="BB21" i="12"/>
  <c r="AU23" i="8"/>
  <c r="BA3" i="12"/>
  <c r="AU3" i="12" s="1"/>
  <c r="BB3" i="12"/>
  <c r="AV3" i="12" s="1"/>
  <c r="BC3" i="12"/>
  <c r="AW3" i="12" s="1"/>
  <c r="BA25" i="12"/>
  <c r="AT25" i="12"/>
  <c r="BC25" i="12"/>
  <c r="BB25" i="12"/>
  <c r="BA33" i="12"/>
  <c r="AT33" i="12"/>
  <c r="BC33" i="12"/>
  <c r="BB33" i="12"/>
  <c r="AT17" i="12"/>
  <c r="BA17" i="12"/>
  <c r="BC17" i="12"/>
  <c r="BB17" i="12"/>
  <c r="BA6" i="12"/>
  <c r="AU6" i="12" s="1"/>
  <c r="BB6" i="12"/>
  <c r="AV6" i="12" s="1"/>
  <c r="BC6" i="12"/>
  <c r="AW6" i="12" s="1"/>
  <c r="BA34" i="12"/>
  <c r="AT34" i="12"/>
  <c r="BC34" i="12"/>
  <c r="BB34" i="12"/>
  <c r="H20" i="5"/>
  <c r="H13" i="5"/>
  <c r="H22" i="5" s="1"/>
  <c r="H25" i="5" s="1"/>
  <c r="H15" i="5"/>
  <c r="H24" i="5" s="1"/>
  <c r="H27" i="5" s="1"/>
  <c r="E20" i="5"/>
  <c r="E12" i="5"/>
  <c r="E11" i="5"/>
  <c r="AS27" i="8"/>
  <c r="AS10" i="8"/>
  <c r="E19" i="5"/>
  <c r="AS23" i="8"/>
  <c r="O23" i="7"/>
  <c r="AS32" i="8"/>
  <c r="AC27" i="8"/>
  <c r="G3" i="7"/>
  <c r="O15" i="7"/>
  <c r="P3" i="7"/>
  <c r="Q3" i="7" s="1"/>
  <c r="O25" i="7"/>
  <c r="O14" i="7"/>
  <c r="AS30" i="8"/>
  <c r="O20" i="7"/>
  <c r="O18" i="7"/>
  <c r="O12" i="7"/>
  <c r="AS35" i="8"/>
  <c r="AS20" i="8"/>
  <c r="AS21" i="8"/>
  <c r="AS19" i="8"/>
  <c r="D4" i="17"/>
  <c r="E4" i="17" s="1"/>
  <c r="E40" i="17" s="1"/>
  <c r="G4" i="7"/>
  <c r="H4" i="7" s="1"/>
  <c r="I4" i="7" s="1"/>
  <c r="J4" i="7" s="1"/>
  <c r="J43" i="7" s="1"/>
  <c r="AS12" i="8"/>
  <c r="O29" i="7"/>
  <c r="AS24" i="8"/>
  <c r="O27" i="7"/>
  <c r="O32" i="7"/>
  <c r="AS36" i="8"/>
  <c r="AS33" i="8"/>
  <c r="AS25" i="8"/>
  <c r="AS26" i="8"/>
  <c r="AS28" i="8"/>
  <c r="O13" i="7"/>
  <c r="AS29" i="8"/>
  <c r="AS18" i="8"/>
  <c r="O10" i="7"/>
  <c r="AS31" i="8"/>
  <c r="O21" i="7"/>
  <c r="AS13" i="8"/>
  <c r="O28" i="7"/>
  <c r="AS17" i="8"/>
  <c r="O26" i="7"/>
  <c r="O9" i="7"/>
  <c r="AS34" i="8"/>
  <c r="O6" i="7"/>
  <c r="O19" i="7"/>
  <c r="O30" i="7"/>
  <c r="AS22" i="8"/>
  <c r="AS11" i="8"/>
  <c r="AS14" i="8"/>
  <c r="AS16" i="8"/>
  <c r="O11" i="7"/>
  <c r="AS15" i="8"/>
  <c r="O24" i="7"/>
  <c r="G24" i="5"/>
  <c r="G22" i="5"/>
  <c r="G23" i="5"/>
  <c r="AR23" i="8" l="1"/>
  <c r="BA33" i="8"/>
  <c r="AU33" i="8" s="1"/>
  <c r="AW38" i="12"/>
  <c r="AR27" i="8"/>
  <c r="AQ18" i="8"/>
  <c r="AQ35" i="8"/>
  <c r="AZ25" i="8"/>
  <c r="AT25" i="8" s="1"/>
  <c r="AX38" i="8"/>
  <c r="BA38" i="8" s="1"/>
  <c r="AU38" i="8" s="1"/>
  <c r="AZ21" i="8"/>
  <c r="AT21" i="8" s="1"/>
  <c r="AQ19" i="8"/>
  <c r="AR37" i="8"/>
  <c r="AZ24" i="8"/>
  <c r="AT24" i="8" s="1"/>
  <c r="AW37" i="12"/>
  <c r="BF37" i="12"/>
  <c r="AZ37" i="12" s="1"/>
  <c r="Z38" i="8"/>
  <c r="AR24" i="8"/>
  <c r="AQ34" i="8"/>
  <c r="AZ23" i="8"/>
  <c r="AT23" i="8" s="1"/>
  <c r="BA25" i="8"/>
  <c r="AU25" i="8" s="1"/>
  <c r="BA21" i="8"/>
  <c r="AU21" i="8" s="1"/>
  <c r="BM9" i="12"/>
  <c r="D5" i="17" s="1"/>
  <c r="E5" i="17" s="1"/>
  <c r="E41" i="17" s="1"/>
  <c r="P5" i="7"/>
  <c r="Q5" i="7" s="1"/>
  <c r="R5" i="7" s="1"/>
  <c r="BA22" i="8"/>
  <c r="AU22" i="8" s="1"/>
  <c r="BA18" i="8"/>
  <c r="AU18" i="8" s="1"/>
  <c r="AR18" i="8"/>
  <c r="AQ31" i="8"/>
  <c r="AR14" i="8"/>
  <c r="AZ26" i="8"/>
  <c r="AT26" i="8" s="1"/>
  <c r="AR32" i="8"/>
  <c r="AZ17" i="8"/>
  <c r="AT17" i="8" s="1"/>
  <c r="BA29" i="8"/>
  <c r="AU29" i="8" s="1"/>
  <c r="AR19" i="8"/>
  <c r="AR35" i="8"/>
  <c r="AR36" i="8"/>
  <c r="BA16" i="8"/>
  <c r="AU16" i="8" s="1"/>
  <c r="AR13" i="8"/>
  <c r="AQ29" i="8"/>
  <c r="BT9" i="12"/>
  <c r="AQ15" i="8"/>
  <c r="AR30" i="8"/>
  <c r="AQ16" i="8"/>
  <c r="AR11" i="8"/>
  <c r="AQ27" i="8"/>
  <c r="BA31" i="8"/>
  <c r="AU31" i="8" s="1"/>
  <c r="AQ33" i="8"/>
  <c r="AZ14" i="8"/>
  <c r="AT14" i="8" s="1"/>
  <c r="AQ13" i="8"/>
  <c r="AR20" i="8"/>
  <c r="AZ20" i="8"/>
  <c r="AT20" i="8" s="1"/>
  <c r="AZ22" i="8"/>
  <c r="AT22" i="8" s="1"/>
  <c r="AR26" i="8"/>
  <c r="AR12" i="8"/>
  <c r="AQ36" i="8"/>
  <c r="AZ28" i="8"/>
  <c r="AT28" i="8" s="1"/>
  <c r="BH9" i="8"/>
  <c r="BA17" i="8"/>
  <c r="AU17" i="8" s="1"/>
  <c r="BA34" i="8"/>
  <c r="AU34" i="8" s="1"/>
  <c r="AZ12" i="8"/>
  <c r="AT12" i="8" s="1"/>
  <c r="BA15" i="8"/>
  <c r="AU15" i="8" s="1"/>
  <c r="BI9" i="8"/>
  <c r="AC9" i="8"/>
  <c r="BK9" i="8" s="1"/>
  <c r="AD9" i="8"/>
  <c r="BL9" i="8" s="1"/>
  <c r="BR9" i="8"/>
  <c r="E15" i="5"/>
  <c r="B4" i="12"/>
  <c r="BG3" i="12"/>
  <c r="I18" i="5"/>
  <c r="J18" i="5" s="1"/>
  <c r="I13" i="5"/>
  <c r="I22" i="5" s="1"/>
  <c r="I25" i="5" s="1"/>
  <c r="I19" i="5"/>
  <c r="J19" i="5" s="1"/>
  <c r="J11" i="5"/>
  <c r="I14" i="5"/>
  <c r="C4" i="12"/>
  <c r="BH3" i="12"/>
  <c r="AQ38" i="8"/>
  <c r="AZ38" i="8"/>
  <c r="AT38" i="8" s="1"/>
  <c r="J10" i="5"/>
  <c r="I20" i="5"/>
  <c r="J20" i="5" s="1"/>
  <c r="I15" i="5"/>
  <c r="I24" i="5" s="1"/>
  <c r="I27" i="5" s="1"/>
  <c r="BM32" i="12"/>
  <c r="C33" i="19" s="1"/>
  <c r="BM29" i="12"/>
  <c r="C30" i="19" s="1"/>
  <c r="BM24" i="12"/>
  <c r="C25" i="19" s="1"/>
  <c r="BM31" i="12"/>
  <c r="C32" i="19" s="1"/>
  <c r="BM28" i="12"/>
  <c r="C29" i="19" s="1"/>
  <c r="BM22" i="12"/>
  <c r="C23" i="19" s="1"/>
  <c r="BM17" i="12"/>
  <c r="C18" i="19" s="1"/>
  <c r="BM35" i="12"/>
  <c r="C36" i="19" s="1"/>
  <c r="BM30" i="12"/>
  <c r="C31" i="19" s="1"/>
  <c r="Q8" i="7"/>
  <c r="R8" i="7" s="1"/>
  <c r="S8" i="7" s="1"/>
  <c r="S47" i="7" s="1"/>
  <c r="BM27" i="12"/>
  <c r="C28" i="19" s="1"/>
  <c r="BM26" i="12"/>
  <c r="C27" i="19" s="1"/>
  <c r="BM15" i="12"/>
  <c r="C16" i="19" s="1"/>
  <c r="Q17" i="7"/>
  <c r="R17" i="7" s="1"/>
  <c r="S17" i="7" s="1"/>
  <c r="S56" i="7" s="1"/>
  <c r="BM36" i="12"/>
  <c r="C37" i="19" s="1"/>
  <c r="BM11" i="12"/>
  <c r="C12" i="19" s="1"/>
  <c r="BM20" i="12"/>
  <c r="C21" i="19" s="1"/>
  <c r="BM12" i="12"/>
  <c r="C13" i="19" s="1"/>
  <c r="BM23" i="12"/>
  <c r="C24" i="19" s="1"/>
  <c r="BM16" i="12"/>
  <c r="C17" i="19" s="1"/>
  <c r="BM14" i="12"/>
  <c r="C15" i="19" s="1"/>
  <c r="BM18" i="12"/>
  <c r="C19" i="19" s="1"/>
  <c r="BB3" i="8"/>
  <c r="E13" i="5"/>
  <c r="BM33" i="12"/>
  <c r="C34" i="19" s="1"/>
  <c r="O35" i="7"/>
  <c r="BM25" i="12"/>
  <c r="C26" i="19" s="1"/>
  <c r="BM10" i="12"/>
  <c r="C11" i="19" s="1"/>
  <c r="BM19" i="12"/>
  <c r="C20" i="19" s="1"/>
  <c r="BM21" i="12"/>
  <c r="C22" i="19" s="1"/>
  <c r="BC3" i="8"/>
  <c r="BM34" i="12"/>
  <c r="C35" i="19" s="1"/>
  <c r="AC34" i="8"/>
  <c r="AB12" i="8"/>
  <c r="BT15" i="12"/>
  <c r="BU3" i="12"/>
  <c r="BT31" i="12"/>
  <c r="BT19" i="12"/>
  <c r="BT21" i="12"/>
  <c r="AB10" i="8"/>
  <c r="BT12" i="12"/>
  <c r="BT17" i="12"/>
  <c r="BT28" i="12"/>
  <c r="BT24" i="12"/>
  <c r="AC10" i="8"/>
  <c r="BT13" i="12"/>
  <c r="BT3" i="12"/>
  <c r="BT30" i="12"/>
  <c r="BT35" i="12"/>
  <c r="BT27" i="12"/>
  <c r="BT32" i="12"/>
  <c r="BT7" i="12"/>
  <c r="BT29" i="12"/>
  <c r="BT11" i="12"/>
  <c r="BT23" i="12"/>
  <c r="BT16" i="12"/>
  <c r="BT4" i="12"/>
  <c r="BT34" i="12"/>
  <c r="BT26" i="12"/>
  <c r="BT33" i="12"/>
  <c r="BT22" i="12"/>
  <c r="BT5" i="12"/>
  <c r="BT6" i="12"/>
  <c r="BT36" i="12"/>
  <c r="AD10" i="8"/>
  <c r="BT25" i="12"/>
  <c r="BT14" i="12"/>
  <c r="BT10" i="12"/>
  <c r="BT18" i="12"/>
  <c r="BT8" i="12"/>
  <c r="BT20" i="12"/>
  <c r="BM13" i="12"/>
  <c r="BD14" i="12"/>
  <c r="AX14" i="12" s="1"/>
  <c r="AU14" i="12"/>
  <c r="BF36" i="12"/>
  <c r="AZ36" i="12" s="1"/>
  <c r="AW36" i="12"/>
  <c r="BE32" i="12"/>
  <c r="AY32" i="12" s="1"/>
  <c r="AV32" i="12"/>
  <c r="BE11" i="12"/>
  <c r="AY11" i="12" s="1"/>
  <c r="AV11" i="12"/>
  <c r="BF20" i="12"/>
  <c r="AZ20" i="12" s="1"/>
  <c r="AW20" i="12"/>
  <c r="BD18" i="12"/>
  <c r="AX18" i="12" s="1"/>
  <c r="AU18" i="12"/>
  <c r="BF13" i="12"/>
  <c r="AZ13" i="12" s="1"/>
  <c r="AW13" i="12"/>
  <c r="BF30" i="12"/>
  <c r="AZ30" i="12" s="1"/>
  <c r="AW30" i="12"/>
  <c r="BE26" i="12"/>
  <c r="AY26" i="12" s="1"/>
  <c r="AV26" i="12"/>
  <c r="BD34" i="12"/>
  <c r="AX34" i="12" s="1"/>
  <c r="AU34" i="12"/>
  <c r="AV21" i="12"/>
  <c r="BE21" i="12"/>
  <c r="AY21" i="12" s="1"/>
  <c r="BE14" i="12"/>
  <c r="AY14" i="12" s="1"/>
  <c r="AV14" i="12"/>
  <c r="BE29" i="12"/>
  <c r="AY29" i="12" s="1"/>
  <c r="AV29" i="12"/>
  <c r="BE22" i="12"/>
  <c r="AY22" i="12" s="1"/>
  <c r="AV22" i="12"/>
  <c r="BD32" i="12"/>
  <c r="AX32" i="12" s="1"/>
  <c r="AU32" i="12"/>
  <c r="BE20" i="12"/>
  <c r="AY20" i="12" s="1"/>
  <c r="AV20" i="12"/>
  <c r="AU28" i="12"/>
  <c r="BD28" i="12"/>
  <c r="AX28" i="12" s="1"/>
  <c r="BE12" i="12"/>
  <c r="AY12" i="12" s="1"/>
  <c r="AV12" i="12"/>
  <c r="BE30" i="12"/>
  <c r="AY30" i="12" s="1"/>
  <c r="AV30" i="12"/>
  <c r="AW10" i="12"/>
  <c r="BF10" i="12"/>
  <c r="AZ10" i="12" s="1"/>
  <c r="AW26" i="12"/>
  <c r="BF26" i="12"/>
  <c r="AZ26" i="12" s="1"/>
  <c r="BE31" i="12"/>
  <c r="AY31" i="12" s="1"/>
  <c r="AV31" i="12"/>
  <c r="BF15" i="12"/>
  <c r="AZ15" i="12" s="1"/>
  <c r="AW15" i="12"/>
  <c r="AU16" i="12"/>
  <c r="BD16" i="12"/>
  <c r="AX16" i="12" s="1"/>
  <c r="BE34" i="12"/>
  <c r="AY34" i="12" s="1"/>
  <c r="AV34" i="12"/>
  <c r="BF17" i="12"/>
  <c r="AZ17" i="12" s="1"/>
  <c r="AW17" i="12"/>
  <c r="BD33" i="12"/>
  <c r="AX33" i="12" s="1"/>
  <c r="AU33" i="12"/>
  <c r="BD25" i="12"/>
  <c r="AX25" i="12" s="1"/>
  <c r="AU25" i="12"/>
  <c r="BF21" i="12"/>
  <c r="AZ21" i="12" s="1"/>
  <c r="AW21" i="12"/>
  <c r="BF35" i="12"/>
  <c r="AZ35" i="12" s="1"/>
  <c r="AW35" i="12"/>
  <c r="AW14" i="12"/>
  <c r="BF14" i="12"/>
  <c r="AZ14" i="12" s="1"/>
  <c r="BF29" i="12"/>
  <c r="AZ29" i="12" s="1"/>
  <c r="AW29" i="12"/>
  <c r="BE24" i="12"/>
  <c r="AY24" i="12" s="1"/>
  <c r="AV24" i="12"/>
  <c r="AW22" i="12"/>
  <c r="BF22" i="12"/>
  <c r="AZ22" i="12" s="1"/>
  <c r="BF27" i="12"/>
  <c r="AZ27" i="12" s="1"/>
  <c r="AW27" i="12"/>
  <c r="BD36" i="12"/>
  <c r="AX36" i="12" s="1"/>
  <c r="AU36" i="12"/>
  <c r="BD19" i="12"/>
  <c r="AX19" i="12" s="1"/>
  <c r="AU19" i="12"/>
  <c r="BD11" i="12"/>
  <c r="AX11" i="12" s="1"/>
  <c r="AU11" i="12"/>
  <c r="AU20" i="12"/>
  <c r="BD20" i="12"/>
  <c r="AX20" i="12" s="1"/>
  <c r="BE18" i="12"/>
  <c r="AY18" i="12" s="1"/>
  <c r="AV18" i="12"/>
  <c r="BD13" i="12"/>
  <c r="AX13" i="12" s="1"/>
  <c r="AU13" i="12"/>
  <c r="AU12" i="12"/>
  <c r="BD12" i="12"/>
  <c r="AX12" i="12" s="1"/>
  <c r="BD10" i="12"/>
  <c r="AX10" i="12" s="1"/>
  <c r="AU10" i="12"/>
  <c r="BD26" i="12"/>
  <c r="AX26" i="12" s="1"/>
  <c r="AU26" i="12"/>
  <c r="BF33" i="12"/>
  <c r="AZ33" i="12" s="1"/>
  <c r="AW33" i="12"/>
  <c r="BF25" i="12"/>
  <c r="AZ25" i="12" s="1"/>
  <c r="AW25" i="12"/>
  <c r="BD35" i="12"/>
  <c r="AX35" i="12" s="1"/>
  <c r="AU35" i="12"/>
  <c r="BD22" i="12"/>
  <c r="AX22" i="12" s="1"/>
  <c r="AU22" i="12"/>
  <c r="BD27" i="12"/>
  <c r="AX27" i="12" s="1"/>
  <c r="AU27" i="12"/>
  <c r="BF19" i="12"/>
  <c r="AZ19" i="12" s="1"/>
  <c r="AW19" i="12"/>
  <c r="BF23" i="12"/>
  <c r="AZ23" i="12" s="1"/>
  <c r="AW23" i="12"/>
  <c r="BE28" i="12"/>
  <c r="AY28" i="12" s="1"/>
  <c r="AV28" i="12"/>
  <c r="BF12" i="12"/>
  <c r="AZ12" i="12" s="1"/>
  <c r="AW12" i="12"/>
  <c r="BE10" i="12"/>
  <c r="AY10" i="12" s="1"/>
  <c r="AV10" i="12"/>
  <c r="BF31" i="12"/>
  <c r="AZ31" i="12" s="1"/>
  <c r="AW31" i="12"/>
  <c r="BE15" i="12"/>
  <c r="AY15" i="12" s="1"/>
  <c r="AV15" i="12"/>
  <c r="BF16" i="12"/>
  <c r="AZ16" i="12" s="1"/>
  <c r="AW16" i="12"/>
  <c r="AV17" i="12"/>
  <c r="BE17" i="12"/>
  <c r="AY17" i="12" s="1"/>
  <c r="BE35" i="12"/>
  <c r="AY35" i="12" s="1"/>
  <c r="AV35" i="12"/>
  <c r="BF24" i="12"/>
  <c r="AZ24" i="12" s="1"/>
  <c r="AW24" i="12"/>
  <c r="BE27" i="12"/>
  <c r="AY27" i="12" s="1"/>
  <c r="AV27" i="12"/>
  <c r="BE36" i="12"/>
  <c r="AY36" i="12" s="1"/>
  <c r="AV36" i="12"/>
  <c r="BE23" i="12"/>
  <c r="AY23" i="12" s="1"/>
  <c r="AV23" i="12"/>
  <c r="BF34" i="12"/>
  <c r="AZ34" i="12" s="1"/>
  <c r="AW34" i="12"/>
  <c r="BD17" i="12"/>
  <c r="AX17" i="12" s="1"/>
  <c r="AU17" i="12"/>
  <c r="BE33" i="12"/>
  <c r="AY33" i="12" s="1"/>
  <c r="AV33" i="12"/>
  <c r="BE25" i="12"/>
  <c r="AY25" i="12" s="1"/>
  <c r="AV25" i="12"/>
  <c r="BD21" i="12"/>
  <c r="AX21" i="12" s="1"/>
  <c r="AU21" i="12"/>
  <c r="BD29" i="12"/>
  <c r="AX29" i="12" s="1"/>
  <c r="AU29" i="12"/>
  <c r="AU24" i="12"/>
  <c r="BD24" i="12"/>
  <c r="AX24" i="12" s="1"/>
  <c r="BF32" i="12"/>
  <c r="AZ32" i="12" s="1"/>
  <c r="AW32" i="12"/>
  <c r="BE19" i="12"/>
  <c r="AY19" i="12" s="1"/>
  <c r="AV19" i="12"/>
  <c r="BF11" i="12"/>
  <c r="AZ11" i="12" s="1"/>
  <c r="AW11" i="12"/>
  <c r="BD23" i="12"/>
  <c r="AX23" i="12" s="1"/>
  <c r="AU23" i="12"/>
  <c r="BF28" i="12"/>
  <c r="AZ28" i="12" s="1"/>
  <c r="AW28" i="12"/>
  <c r="AW18" i="12"/>
  <c r="BF18" i="12"/>
  <c r="AZ18" i="12" s="1"/>
  <c r="AV13" i="12"/>
  <c r="BE13" i="12"/>
  <c r="AY13" i="12" s="1"/>
  <c r="BD30" i="12"/>
  <c r="AX30" i="12" s="1"/>
  <c r="AU30" i="12"/>
  <c r="BD31" i="12"/>
  <c r="AX31" i="12" s="1"/>
  <c r="AU31" i="12"/>
  <c r="BD15" i="12"/>
  <c r="AX15" i="12" s="1"/>
  <c r="AU15" i="12"/>
  <c r="BE16" i="12"/>
  <c r="AY16" i="12" s="1"/>
  <c r="AV16" i="12"/>
  <c r="H3" i="7"/>
  <c r="I3" i="7" s="1"/>
  <c r="E14" i="5"/>
  <c r="P10" i="7"/>
  <c r="Q10" i="7" s="1"/>
  <c r="R10" i="7" s="1"/>
  <c r="S10" i="7" s="1"/>
  <c r="S49" i="7" s="1"/>
  <c r="P12" i="7"/>
  <c r="Q12" i="7" s="1"/>
  <c r="R12" i="7" s="1"/>
  <c r="S12" i="7" s="1"/>
  <c r="S51" i="7" s="1"/>
  <c r="P20" i="7"/>
  <c r="Q20" i="7" s="1"/>
  <c r="R20" i="7" s="1"/>
  <c r="S20" i="7" s="1"/>
  <c r="S59" i="7" s="1"/>
  <c r="P29" i="7"/>
  <c r="Q29" i="7" s="1"/>
  <c r="R29" i="7" s="1"/>
  <c r="S29" i="7" s="1"/>
  <c r="S68" i="7" s="1"/>
  <c r="P18" i="7"/>
  <c r="Q18" i="7" s="1"/>
  <c r="R18" i="7" s="1"/>
  <c r="S18" i="7" s="1"/>
  <c r="S57" i="7" s="1"/>
  <c r="P4" i="7"/>
  <c r="Q4" i="7" s="1"/>
  <c r="R4" i="7" s="1"/>
  <c r="S4" i="7" s="1"/>
  <c r="S43" i="7" s="1"/>
  <c r="P15" i="7"/>
  <c r="Q15" i="7" s="1"/>
  <c r="R15" i="7" s="1"/>
  <c r="S15" i="7" s="1"/>
  <c r="S54" i="7" s="1"/>
  <c r="P24" i="7"/>
  <c r="Q24" i="7" s="1"/>
  <c r="R24" i="7" s="1"/>
  <c r="S24" i="7" s="1"/>
  <c r="S63" i="7" s="1"/>
  <c r="P30" i="7"/>
  <c r="Q30" i="7" s="1"/>
  <c r="R30" i="7" s="1"/>
  <c r="S30" i="7" s="1"/>
  <c r="S69" i="7" s="1"/>
  <c r="P6" i="7"/>
  <c r="P28" i="7"/>
  <c r="Q28" i="7" s="1"/>
  <c r="R28" i="7" s="1"/>
  <c r="S28" i="7" s="1"/>
  <c r="S67" i="7" s="1"/>
  <c r="P32" i="7"/>
  <c r="Q32" i="7" s="1"/>
  <c r="R32" i="7" s="1"/>
  <c r="S32" i="7" s="1"/>
  <c r="S71" i="7" s="1"/>
  <c r="D3" i="17"/>
  <c r="E3" i="17" s="1"/>
  <c r="E39" i="17" s="1"/>
  <c r="P11" i="7"/>
  <c r="Q11" i="7" s="1"/>
  <c r="R11" i="7" s="1"/>
  <c r="S11" i="7" s="1"/>
  <c r="S50" i="7" s="1"/>
  <c r="P19" i="7"/>
  <c r="Q19" i="7" s="1"/>
  <c r="R19" i="7" s="1"/>
  <c r="S19" i="7" s="1"/>
  <c r="S58" i="7" s="1"/>
  <c r="P9" i="7"/>
  <c r="Q9" i="7" s="1"/>
  <c r="R9" i="7" s="1"/>
  <c r="S9" i="7" s="1"/>
  <c r="S48" i="7" s="1"/>
  <c r="P21" i="7"/>
  <c r="Q21" i="7" s="1"/>
  <c r="R21" i="7" s="1"/>
  <c r="S21" i="7" s="1"/>
  <c r="S60" i="7" s="1"/>
  <c r="P27" i="7"/>
  <c r="Q27" i="7" s="1"/>
  <c r="R27" i="7" s="1"/>
  <c r="S27" i="7" s="1"/>
  <c r="S66" i="7" s="1"/>
  <c r="P23" i="7"/>
  <c r="Q23" i="7" s="1"/>
  <c r="R23" i="7" s="1"/>
  <c r="S23" i="7" s="1"/>
  <c r="S62" i="7" s="1"/>
  <c r="P26" i="7"/>
  <c r="Q26" i="7" s="1"/>
  <c r="R26" i="7" s="1"/>
  <c r="S26" i="7" s="1"/>
  <c r="S65" i="7" s="1"/>
  <c r="K5" i="16"/>
  <c r="L5" i="16" s="1"/>
  <c r="L43" i="16" s="1"/>
  <c r="R3" i="7"/>
  <c r="P13" i="7"/>
  <c r="Q13" i="7" s="1"/>
  <c r="R13" i="7" s="1"/>
  <c r="S13" i="7" s="1"/>
  <c r="S52" i="7" s="1"/>
  <c r="P14" i="7"/>
  <c r="Q14" i="7" s="1"/>
  <c r="R14" i="7" s="1"/>
  <c r="S14" i="7" s="1"/>
  <c r="S53" i="7" s="1"/>
  <c r="P25" i="7"/>
  <c r="Q25" i="7" s="1"/>
  <c r="R25" i="7" s="1"/>
  <c r="S25" i="7" s="1"/>
  <c r="S64" i="7" s="1"/>
  <c r="E23" i="5"/>
  <c r="G25" i="5"/>
  <c r="E24" i="5"/>
  <c r="B27" i="5"/>
  <c r="E27" i="5" s="1"/>
  <c r="E22" i="5"/>
  <c r="E25" i="5"/>
  <c r="G26" i="5"/>
  <c r="G27" i="5"/>
  <c r="AR38" i="8" l="1"/>
  <c r="C10" i="19"/>
  <c r="D10" i="19" s="1"/>
  <c r="S5" i="7"/>
  <c r="S44" i="7" s="1"/>
  <c r="T5" i="7"/>
  <c r="U5" i="7" s="1"/>
  <c r="U44" i="7" s="1"/>
  <c r="BQ9" i="12"/>
  <c r="BW9" i="12"/>
  <c r="Q9" i="19"/>
  <c r="B4" i="22" s="1"/>
  <c r="D4" i="22" s="1"/>
  <c r="E4" i="22" s="1"/>
  <c r="Q8" i="19"/>
  <c r="J25" i="5"/>
  <c r="J27" i="5"/>
  <c r="BV3" i="12"/>
  <c r="J24" i="5"/>
  <c r="J22" i="5"/>
  <c r="J15" i="5"/>
  <c r="J13" i="5"/>
  <c r="C5" i="12"/>
  <c r="BH4" i="12"/>
  <c r="I23" i="5"/>
  <c r="J14" i="5"/>
  <c r="B5" i="12"/>
  <c r="BG4" i="12"/>
  <c r="BB4" i="8"/>
  <c r="BC4" i="8"/>
  <c r="BD3" i="8"/>
  <c r="BQ13" i="12"/>
  <c r="BW13" i="12"/>
  <c r="BQ18" i="12"/>
  <c r="BW18" i="12"/>
  <c r="BQ26" i="12"/>
  <c r="BW26" i="12"/>
  <c r="BQ34" i="12"/>
  <c r="BW34" i="12"/>
  <c r="BQ12" i="12"/>
  <c r="BW12" i="12"/>
  <c r="BQ21" i="12"/>
  <c r="BW21" i="12"/>
  <c r="BQ20" i="12"/>
  <c r="BW20" i="12"/>
  <c r="BW16" i="12"/>
  <c r="BQ16" i="12"/>
  <c r="BW24" i="12"/>
  <c r="BQ24" i="12"/>
  <c r="BQ15" i="12"/>
  <c r="BW15" i="12"/>
  <c r="BQ14" i="12"/>
  <c r="BW14" i="12"/>
  <c r="BW33" i="12"/>
  <c r="BQ33" i="12"/>
  <c r="BQ29" i="12"/>
  <c r="BW29" i="12"/>
  <c r="BQ35" i="12"/>
  <c r="BW35" i="12"/>
  <c r="BW17" i="12"/>
  <c r="BQ17" i="12"/>
  <c r="BQ19" i="12"/>
  <c r="BW19" i="12"/>
  <c r="C14" i="19"/>
  <c r="BQ23" i="12"/>
  <c r="BW23" i="12"/>
  <c r="BQ31" i="12"/>
  <c r="BW31" i="12"/>
  <c r="BQ10" i="12"/>
  <c r="BW10" i="12"/>
  <c r="BQ25" i="12"/>
  <c r="BW25" i="12"/>
  <c r="BW36" i="12"/>
  <c r="BQ36" i="12"/>
  <c r="BQ22" i="12"/>
  <c r="BW22" i="12"/>
  <c r="BQ11" i="12"/>
  <c r="BW11" i="12"/>
  <c r="BQ32" i="12"/>
  <c r="BW32" i="12"/>
  <c r="BQ27" i="12"/>
  <c r="BW27" i="12"/>
  <c r="BQ30" i="12"/>
  <c r="BW30" i="12"/>
  <c r="BQ28" i="12"/>
  <c r="BW28" i="12"/>
  <c r="Q6" i="7"/>
  <c r="P35" i="7"/>
  <c r="J3" i="7"/>
  <c r="J42" i="7" s="1"/>
  <c r="S3" i="7"/>
  <c r="S42" i="7" s="1"/>
  <c r="V5" i="16"/>
  <c r="W5" i="16" s="1"/>
  <c r="W43" i="16" s="1"/>
  <c r="E6" i="16"/>
  <c r="F6" i="16" s="1"/>
  <c r="G6" i="16" s="1"/>
  <c r="G44" i="16" s="1"/>
  <c r="K4" i="16"/>
  <c r="L4" i="16" s="1"/>
  <c r="L42" i="16" s="1"/>
  <c r="E5" i="16"/>
  <c r="F5" i="16" s="1"/>
  <c r="G5" i="16" s="1"/>
  <c r="G43" i="16" s="1"/>
  <c r="T4" i="7"/>
  <c r="U4" i="7" s="1"/>
  <c r="U43" i="7" s="1"/>
  <c r="T3" i="7"/>
  <c r="U3" i="7" s="1"/>
  <c r="U42" i="7" s="1"/>
  <c r="E4" i="16"/>
  <c r="E26" i="5"/>
  <c r="E28" i="5" s="1"/>
  <c r="E7" i="27" l="1"/>
  <c r="E40" i="22"/>
  <c r="E10" i="19"/>
  <c r="C40" i="19"/>
  <c r="B5" i="20"/>
  <c r="H5" i="20" s="1"/>
  <c r="M5" i="20" s="1"/>
  <c r="B5" i="26"/>
  <c r="D5" i="26" s="1"/>
  <c r="E5" i="26" s="1"/>
  <c r="F5" i="26" s="1"/>
  <c r="B4" i="25"/>
  <c r="D4" i="25" s="1"/>
  <c r="E4" i="25" s="1"/>
  <c r="B4" i="28"/>
  <c r="D4" i="28" s="1"/>
  <c r="E4" i="28" s="1"/>
  <c r="BU4" i="12"/>
  <c r="B6" i="12"/>
  <c r="BG5" i="12"/>
  <c r="BV4" i="12"/>
  <c r="I26" i="5"/>
  <c r="J26" i="5" s="1"/>
  <c r="J23" i="5"/>
  <c r="C6" i="12"/>
  <c r="BH5" i="12"/>
  <c r="BB5" i="8"/>
  <c r="N3" i="8"/>
  <c r="BE3" i="8"/>
  <c r="O3" i="8"/>
  <c r="P3" i="8"/>
  <c r="BD4" i="8"/>
  <c r="BC5" i="8"/>
  <c r="R6" i="7"/>
  <c r="R35" i="7" s="1"/>
  <c r="Q35" i="7"/>
  <c r="BY7" i="12"/>
  <c r="BW5" i="12"/>
  <c r="BY3" i="12"/>
  <c r="BW4" i="12"/>
  <c r="BW7" i="12"/>
  <c r="F4" i="16"/>
  <c r="G4" i="16" s="1"/>
  <c r="G42" i="16" s="1"/>
  <c r="BW3" i="12"/>
  <c r="P5" i="16"/>
  <c r="Q5" i="16" s="1"/>
  <c r="R5" i="16" s="1"/>
  <c r="R43" i="16" s="1"/>
  <c r="BX8" i="12"/>
  <c r="BY5" i="12"/>
  <c r="BX5" i="12"/>
  <c r="BX4" i="12"/>
  <c r="BY4" i="12"/>
  <c r="BX3" i="12"/>
  <c r="BW6" i="12"/>
  <c r="BW8" i="12"/>
  <c r="P4" i="16"/>
  <c r="BX7" i="12"/>
  <c r="V4" i="16"/>
  <c r="W4" i="16" s="1"/>
  <c r="W42" i="16" s="1"/>
  <c r="BY6" i="12"/>
  <c r="BY8" i="12"/>
  <c r="BX6" i="12"/>
  <c r="B7" i="27" l="1"/>
  <c r="E41" i="28"/>
  <c r="D7" i="27"/>
  <c r="E41" i="25"/>
  <c r="F7" i="27"/>
  <c r="F40" i="26"/>
  <c r="Q10" i="19"/>
  <c r="Q51" i="19" s="1"/>
  <c r="I5" i="20"/>
  <c r="N5" i="20" s="1"/>
  <c r="J5" i="20"/>
  <c r="O5" i="20" s="1"/>
  <c r="K5" i="20"/>
  <c r="P5" i="20" s="1"/>
  <c r="L5" i="20"/>
  <c r="Q5" i="20" s="1"/>
  <c r="T5" i="20" s="1"/>
  <c r="C7" i="27"/>
  <c r="C7" i="12"/>
  <c r="BH6" i="12"/>
  <c r="BV5" i="12"/>
  <c r="BU5" i="12"/>
  <c r="B7" i="12"/>
  <c r="BG6" i="12"/>
  <c r="BB6" i="8"/>
  <c r="BM3" i="8"/>
  <c r="H3" i="8"/>
  <c r="BG3" i="8" s="1"/>
  <c r="BC6" i="8"/>
  <c r="N4" i="8"/>
  <c r="BE4" i="8"/>
  <c r="O4" i="8"/>
  <c r="P4" i="8"/>
  <c r="BO3" i="8"/>
  <c r="J3" i="8"/>
  <c r="BI3" i="8" s="1"/>
  <c r="BD5" i="8"/>
  <c r="BN3" i="8"/>
  <c r="I3" i="8"/>
  <c r="BH3" i="8" s="1"/>
  <c r="S6" i="7"/>
  <c r="B3" i="28"/>
  <c r="B4" i="26"/>
  <c r="Q4" i="16"/>
  <c r="R4" i="16" s="1"/>
  <c r="R42" i="16" s="1"/>
  <c r="X5" i="16"/>
  <c r="Y5" i="16" s="1"/>
  <c r="Y43" i="16" s="1"/>
  <c r="B3" i="22"/>
  <c r="B3" i="25"/>
  <c r="B4" i="20"/>
  <c r="S35" i="7" l="1"/>
  <c r="S74" i="7" s="1"/>
  <c r="S45" i="7"/>
  <c r="B6" i="26"/>
  <c r="D6" i="26" s="1"/>
  <c r="E6" i="26" s="1"/>
  <c r="F6" i="26" s="1"/>
  <c r="B6" i="20"/>
  <c r="B5" i="28"/>
  <c r="D5" i="28" s="1"/>
  <c r="E5" i="28" s="1"/>
  <c r="E42" i="28" s="1"/>
  <c r="B5" i="25"/>
  <c r="D5" i="25" s="1"/>
  <c r="E5" i="25" s="1"/>
  <c r="B5" i="22"/>
  <c r="D5" i="22" s="1"/>
  <c r="E5" i="22" s="1"/>
  <c r="R5" i="20"/>
  <c r="G7" i="27"/>
  <c r="B8" i="12"/>
  <c r="BG7" i="12"/>
  <c r="C8" i="12"/>
  <c r="BH7" i="12"/>
  <c r="BV6" i="12"/>
  <c r="BU6" i="12"/>
  <c r="BB7" i="8"/>
  <c r="N5" i="8"/>
  <c r="BE5" i="8"/>
  <c r="P5" i="8"/>
  <c r="O5" i="8"/>
  <c r="BO4" i="8"/>
  <c r="J4" i="8"/>
  <c r="BI4" i="8" s="1"/>
  <c r="BD6" i="8"/>
  <c r="BN4" i="8"/>
  <c r="I4" i="8"/>
  <c r="BH4" i="8" s="1"/>
  <c r="BC7" i="8"/>
  <c r="BM4" i="8"/>
  <c r="H4" i="8"/>
  <c r="BG4" i="8" s="1"/>
  <c r="D3" i="22"/>
  <c r="E3" i="22" s="1"/>
  <c r="D4" i="26"/>
  <c r="D3" i="25"/>
  <c r="E3" i="25" s="1"/>
  <c r="J4" i="20"/>
  <c r="O4" i="20" s="1"/>
  <c r="I4" i="20"/>
  <c r="N4" i="20" s="1"/>
  <c r="H4" i="20"/>
  <c r="M4" i="20" s="1"/>
  <c r="L4" i="20"/>
  <c r="K4" i="20"/>
  <c r="P4" i="20" s="1"/>
  <c r="D3" i="28"/>
  <c r="E3" i="28" s="1"/>
  <c r="X4" i="16"/>
  <c r="Y4" i="16" s="1"/>
  <c r="Y42" i="16" s="1"/>
  <c r="B6" i="27" l="1"/>
  <c r="E40" i="28"/>
  <c r="D6" i="27"/>
  <c r="E40" i="25"/>
  <c r="E8" i="27"/>
  <c r="E41" i="22"/>
  <c r="F8" i="27"/>
  <c r="F41" i="26"/>
  <c r="D8" i="27"/>
  <c r="E42" i="25"/>
  <c r="E6" i="27"/>
  <c r="E39" i="22"/>
  <c r="B8" i="27"/>
  <c r="C8" i="27" s="1"/>
  <c r="K6" i="20"/>
  <c r="P6" i="20" s="1"/>
  <c r="J6" i="20"/>
  <c r="O6" i="20" s="1"/>
  <c r="I6" i="20"/>
  <c r="N6" i="20" s="1"/>
  <c r="L6" i="20"/>
  <c r="Q6" i="20" s="1"/>
  <c r="T6" i="20" s="1"/>
  <c r="H6" i="20"/>
  <c r="M6" i="20" s="1"/>
  <c r="S5" i="20"/>
  <c r="BU7" i="12"/>
  <c r="C9" i="12"/>
  <c r="BH8" i="12"/>
  <c r="B9" i="12"/>
  <c r="BG9" i="12" s="1"/>
  <c r="BH43" i="12" s="1"/>
  <c r="BG8" i="12"/>
  <c r="BV7" i="12"/>
  <c r="BB8" i="8"/>
  <c r="BO5" i="8"/>
  <c r="J5" i="8"/>
  <c r="BI5" i="8" s="1"/>
  <c r="BM5" i="8"/>
  <c r="H5" i="8"/>
  <c r="BG5" i="8" s="1"/>
  <c r="BC8" i="8"/>
  <c r="BD7" i="8"/>
  <c r="BE6" i="8"/>
  <c r="N6" i="8"/>
  <c r="P6" i="8"/>
  <c r="O6" i="8"/>
  <c r="I6" i="8" s="1"/>
  <c r="BN5" i="8"/>
  <c r="I5" i="8"/>
  <c r="BH5" i="8" s="1"/>
  <c r="E4" i="26"/>
  <c r="F4" i="26" s="1"/>
  <c r="R4" i="20"/>
  <c r="S4" i="20" s="1"/>
  <c r="S43" i="20" s="1"/>
  <c r="Q4" i="20"/>
  <c r="G8" i="27" l="1"/>
  <c r="F6" i="27"/>
  <c r="F39" i="26"/>
  <c r="U5" i="20"/>
  <c r="U44" i="20" s="1"/>
  <c r="S44" i="20"/>
  <c r="R6" i="20"/>
  <c r="S6" i="20" s="1"/>
  <c r="BH9" i="12"/>
  <c r="BI43" i="12" s="1"/>
  <c r="C6" i="27"/>
  <c r="BV8" i="12"/>
  <c r="B10" i="12"/>
  <c r="C10" i="12"/>
  <c r="BU8" i="12"/>
  <c r="BD8" i="8"/>
  <c r="N7" i="8"/>
  <c r="BE7" i="8"/>
  <c r="P7" i="8"/>
  <c r="O7" i="8"/>
  <c r="BO6" i="8"/>
  <c r="J6" i="8"/>
  <c r="BI6" i="8" s="1"/>
  <c r="BN6" i="8"/>
  <c r="BH6" i="8"/>
  <c r="H6" i="8"/>
  <c r="BG6" i="8" s="1"/>
  <c r="BM6" i="8"/>
  <c r="T4" i="20"/>
  <c r="U6" i="20" l="1"/>
  <c r="U45" i="20" s="1"/>
  <c r="S45" i="20"/>
  <c r="N7" i="27"/>
  <c r="O7" i="27" s="1"/>
  <c r="R7" i="27" s="1"/>
  <c r="BU9" i="12"/>
  <c r="BV9" i="12"/>
  <c r="G6" i="27"/>
  <c r="B11" i="12"/>
  <c r="BG10" i="12"/>
  <c r="C11" i="12"/>
  <c r="BH10" i="12"/>
  <c r="BB10" i="8"/>
  <c r="N8" i="8"/>
  <c r="BE8" i="8"/>
  <c r="P8" i="8"/>
  <c r="O8" i="8"/>
  <c r="BM7" i="8"/>
  <c r="H7" i="8"/>
  <c r="BG7" i="8" s="1"/>
  <c r="BN7" i="8"/>
  <c r="I7" i="8"/>
  <c r="BH7" i="8" s="1"/>
  <c r="J7" i="8"/>
  <c r="BI7" i="8" s="1"/>
  <c r="BO7" i="8"/>
  <c r="BC10" i="8"/>
  <c r="N8" i="27" l="1"/>
  <c r="O8" i="27" s="1"/>
  <c r="R8" i="27" s="1"/>
  <c r="T6" i="16"/>
  <c r="V6" i="16" s="1"/>
  <c r="W6" i="16" s="1"/>
  <c r="W44" i="16" s="1"/>
  <c r="BS9" i="12"/>
  <c r="BY9" i="12"/>
  <c r="BX9" i="12"/>
  <c r="BU10" i="12"/>
  <c r="BV10" i="12"/>
  <c r="B12" i="12"/>
  <c r="BG11" i="12"/>
  <c r="C12" i="12"/>
  <c r="BH11" i="12"/>
  <c r="BB11" i="8"/>
  <c r="BD10" i="8"/>
  <c r="BC11" i="8"/>
  <c r="BO8" i="8"/>
  <c r="J8" i="8"/>
  <c r="BI8" i="8" s="1"/>
  <c r="BM8" i="8"/>
  <c r="H8" i="8"/>
  <c r="BG8" i="8" s="1"/>
  <c r="BN8" i="8"/>
  <c r="I8" i="8"/>
  <c r="BH8" i="8" s="1"/>
  <c r="U4" i="20"/>
  <c r="N6" i="27" l="1"/>
  <c r="U43" i="20"/>
  <c r="BR9" i="12"/>
  <c r="P6" i="16"/>
  <c r="Q6" i="16" s="1"/>
  <c r="R6" i="16" s="1"/>
  <c r="R44" i="16" s="1"/>
  <c r="O6" i="27"/>
  <c r="C13" i="12"/>
  <c r="BH12" i="12"/>
  <c r="BV11" i="12"/>
  <c r="B13" i="12"/>
  <c r="BG12" i="12"/>
  <c r="BX10" i="12"/>
  <c r="BS10" i="12"/>
  <c r="BY10" i="12"/>
  <c r="BU11" i="12"/>
  <c r="T7" i="16"/>
  <c r="BB12" i="8"/>
  <c r="BD11" i="8"/>
  <c r="BC12" i="8"/>
  <c r="G10" i="8"/>
  <c r="N10" i="8"/>
  <c r="F6" i="7"/>
  <c r="BE10" i="8"/>
  <c r="P10" i="8"/>
  <c r="O10" i="8"/>
  <c r="X6" i="16" l="1"/>
  <c r="Y6" i="16" s="1"/>
  <c r="Y44" i="16" s="1"/>
  <c r="BV12" i="12"/>
  <c r="BX11" i="12"/>
  <c r="BS11" i="12"/>
  <c r="BY11" i="12"/>
  <c r="BU12" i="12"/>
  <c r="V7" i="16"/>
  <c r="W7" i="16" s="1"/>
  <c r="W45" i="16" s="1"/>
  <c r="C14" i="12"/>
  <c r="BH13" i="12"/>
  <c r="B14" i="12"/>
  <c r="BG13" i="12"/>
  <c r="T8" i="16"/>
  <c r="V8" i="16" s="1"/>
  <c r="W8" i="16" s="1"/>
  <c r="W46" i="16" s="1"/>
  <c r="BR10" i="12"/>
  <c r="P7" i="16"/>
  <c r="BB13" i="8"/>
  <c r="S10" i="8"/>
  <c r="BO10" i="8"/>
  <c r="J10" i="8"/>
  <c r="BI10" i="8" s="1"/>
  <c r="BF10" i="8"/>
  <c r="G6" i="7"/>
  <c r="G11" i="8"/>
  <c r="N11" i="8"/>
  <c r="Q11" i="8" s="1"/>
  <c r="F7" i="7"/>
  <c r="BE11" i="8"/>
  <c r="P11" i="8"/>
  <c r="O11" i="8"/>
  <c r="R10" i="8"/>
  <c r="BN10" i="8"/>
  <c r="I10" i="8"/>
  <c r="Q10" i="8"/>
  <c r="BM10" i="8"/>
  <c r="H10" i="8"/>
  <c r="BG10" i="8" s="1"/>
  <c r="BC13" i="8"/>
  <c r="BD12" i="8"/>
  <c r="R6" i="27"/>
  <c r="BX12" i="12" l="1"/>
  <c r="BU13" i="12"/>
  <c r="BV13" i="12"/>
  <c r="Q7" i="16"/>
  <c r="R7" i="16" s="1"/>
  <c r="R45" i="16" s="1"/>
  <c r="BS12" i="12"/>
  <c r="BY12" i="12"/>
  <c r="BR11" i="12"/>
  <c r="P8" i="16"/>
  <c r="Q8" i="16" s="1"/>
  <c r="R8" i="16" s="1"/>
  <c r="R46" i="16" s="1"/>
  <c r="B15" i="12"/>
  <c r="BG14" i="12"/>
  <c r="C15" i="12"/>
  <c r="BH14" i="12"/>
  <c r="T9" i="16"/>
  <c r="BB14" i="8"/>
  <c r="BC14" i="8"/>
  <c r="K10" i="8"/>
  <c r="BJ10" i="8" s="1"/>
  <c r="BP10" i="8"/>
  <c r="R11" i="8"/>
  <c r="BN11" i="8"/>
  <c r="I11" i="8"/>
  <c r="BM11" i="8"/>
  <c r="H11" i="8"/>
  <c r="BG11" i="8" s="1"/>
  <c r="B11" i="19"/>
  <c r="BD13" i="8"/>
  <c r="S11" i="8"/>
  <c r="BO11" i="8"/>
  <c r="J11" i="8"/>
  <c r="BI11" i="8" s="1"/>
  <c r="D6" i="17"/>
  <c r="E6" i="17" s="1"/>
  <c r="E42" i="17" s="1"/>
  <c r="BH10" i="8"/>
  <c r="I7" i="16"/>
  <c r="BF11" i="8"/>
  <c r="G7" i="7"/>
  <c r="H7" i="7" s="1"/>
  <c r="I7" i="7" s="1"/>
  <c r="D7" i="17"/>
  <c r="E7" i="17" s="1"/>
  <c r="E43" i="17" s="1"/>
  <c r="G12" i="8"/>
  <c r="BE12" i="8"/>
  <c r="F8" i="7"/>
  <c r="BQ10" i="8"/>
  <c r="L10" i="8"/>
  <c r="H6" i="7"/>
  <c r="BR10" i="8"/>
  <c r="M10" i="8"/>
  <c r="BL10" i="8" s="1"/>
  <c r="BX13" i="12" l="1"/>
  <c r="C16" i="12"/>
  <c r="BH15" i="12"/>
  <c r="V9" i="16"/>
  <c r="W9" i="16" s="1"/>
  <c r="W47" i="16" s="1"/>
  <c r="BV14" i="12"/>
  <c r="BU14" i="12"/>
  <c r="B16" i="12"/>
  <c r="BG15" i="12"/>
  <c r="BS13" i="12"/>
  <c r="BY13" i="12"/>
  <c r="T10" i="16"/>
  <c r="V10" i="16" s="1"/>
  <c r="W10" i="16" s="1"/>
  <c r="W48" i="16" s="1"/>
  <c r="BR12" i="12"/>
  <c r="P9" i="16"/>
  <c r="Q9" i="16" s="1"/>
  <c r="R9" i="16" s="1"/>
  <c r="R47" i="16" s="1"/>
  <c r="BB15" i="8"/>
  <c r="BK10" i="8"/>
  <c r="E7" i="16"/>
  <c r="S12" i="8"/>
  <c r="M12" i="8" s="1"/>
  <c r="BI12" i="8"/>
  <c r="BO12" i="8"/>
  <c r="I6" i="7"/>
  <c r="R12" i="8"/>
  <c r="L12" i="8" s="1"/>
  <c r="BN12" i="8"/>
  <c r="BF12" i="8"/>
  <c r="G8" i="7"/>
  <c r="D8" i="17"/>
  <c r="E8" i="17" s="1"/>
  <c r="E44" i="17" s="1"/>
  <c r="K7" i="16"/>
  <c r="L7" i="16" s="1"/>
  <c r="L45" i="16" s="1"/>
  <c r="BQ11" i="8"/>
  <c r="L11" i="8"/>
  <c r="BC15" i="8"/>
  <c r="J7" i="7"/>
  <c r="J46" i="7" s="1"/>
  <c r="T7" i="7"/>
  <c r="U7" i="7" s="1"/>
  <c r="U46" i="7" s="1"/>
  <c r="BR11" i="8"/>
  <c r="M11" i="8"/>
  <c r="BL11" i="8" s="1"/>
  <c r="D11" i="19"/>
  <c r="I8" i="16"/>
  <c r="K8" i="16" s="1"/>
  <c r="L8" i="16" s="1"/>
  <c r="L46" i="16" s="1"/>
  <c r="BH11" i="8"/>
  <c r="BP11" i="8"/>
  <c r="K11" i="8"/>
  <c r="BJ11" i="8" s="1"/>
  <c r="Q12" i="8"/>
  <c r="K12" i="8" s="1"/>
  <c r="BG12" i="8"/>
  <c r="BM12" i="8"/>
  <c r="B12" i="19"/>
  <c r="D12" i="19" s="1"/>
  <c r="N13" i="8"/>
  <c r="BE13" i="8"/>
  <c r="F9" i="7"/>
  <c r="O13" i="8"/>
  <c r="P13" i="8"/>
  <c r="BD14" i="8"/>
  <c r="E11" i="19" l="1"/>
  <c r="E12" i="19"/>
  <c r="Q12" i="19" s="1"/>
  <c r="Q11" i="19"/>
  <c r="Q52" i="19" s="1"/>
  <c r="BU15" i="12"/>
  <c r="BR13" i="12"/>
  <c r="P10" i="16"/>
  <c r="Q10" i="16" s="1"/>
  <c r="R10" i="16" s="1"/>
  <c r="R48" i="16" s="1"/>
  <c r="BX14" i="12"/>
  <c r="B17" i="12"/>
  <c r="BG16" i="12"/>
  <c r="C17" i="12"/>
  <c r="BH16" i="12"/>
  <c r="BS14" i="12"/>
  <c r="BY14" i="12"/>
  <c r="T11" i="16"/>
  <c r="V11" i="16" s="1"/>
  <c r="W11" i="16" s="1"/>
  <c r="W49" i="16" s="1"/>
  <c r="BV15" i="12"/>
  <c r="BB16" i="8"/>
  <c r="S13" i="8"/>
  <c r="BO13" i="8"/>
  <c r="J13" i="8"/>
  <c r="BI13" i="8" s="1"/>
  <c r="Q13" i="8"/>
  <c r="BM13" i="8"/>
  <c r="H13" i="8"/>
  <c r="BG13" i="8" s="1"/>
  <c r="R13" i="8"/>
  <c r="BN13" i="8"/>
  <c r="I13" i="8"/>
  <c r="BF13" i="8"/>
  <c r="G9" i="7"/>
  <c r="H9" i="7" s="1"/>
  <c r="I9" i="7" s="1"/>
  <c r="D9" i="17"/>
  <c r="E9" i="17" s="1"/>
  <c r="E45" i="17" s="1"/>
  <c r="BD15" i="8"/>
  <c r="J6" i="7"/>
  <c r="J45" i="7" s="1"/>
  <c r="T6" i="7"/>
  <c r="U6" i="7" s="1"/>
  <c r="U45" i="7" s="1"/>
  <c r="BK11" i="8"/>
  <c r="E8" i="16"/>
  <c r="F8" i="16" s="1"/>
  <c r="G8" i="16" s="1"/>
  <c r="G46" i="16" s="1"/>
  <c r="G14" i="8"/>
  <c r="N14" i="8"/>
  <c r="F10" i="7"/>
  <c r="BE14" i="8"/>
  <c r="P14" i="8"/>
  <c r="O14" i="8"/>
  <c r="H8" i="7"/>
  <c r="BQ12" i="8"/>
  <c r="F7" i="16"/>
  <c r="G7" i="16" s="1"/>
  <c r="G45" i="16" s="1"/>
  <c r="BC16" i="8"/>
  <c r="BH12" i="8"/>
  <c r="I9" i="16"/>
  <c r="K9" i="16" s="1"/>
  <c r="L9" i="16" s="1"/>
  <c r="L47" i="16" s="1"/>
  <c r="BP12" i="8"/>
  <c r="BJ12" i="8"/>
  <c r="B13" i="19"/>
  <c r="BR12" i="8"/>
  <c r="BL12" i="8"/>
  <c r="B7" i="22" l="1"/>
  <c r="D7" i="22" s="1"/>
  <c r="E7" i="22" s="1"/>
  <c r="Q53" i="19"/>
  <c r="B7" i="25"/>
  <c r="D7" i="25" s="1"/>
  <c r="B8" i="26"/>
  <c r="B8" i="20"/>
  <c r="H8" i="20" s="1"/>
  <c r="M8" i="20" s="1"/>
  <c r="B7" i="28"/>
  <c r="D7" i="28" s="1"/>
  <c r="BU16" i="12"/>
  <c r="BX15" i="12"/>
  <c r="BV16" i="12"/>
  <c r="BR14" i="12"/>
  <c r="P11" i="16"/>
  <c r="BS15" i="12"/>
  <c r="BY15" i="12"/>
  <c r="T12" i="16"/>
  <c r="V12" i="16" s="1"/>
  <c r="W12" i="16" s="1"/>
  <c r="W50" i="16" s="1"/>
  <c r="C18" i="12"/>
  <c r="BH17" i="12"/>
  <c r="B18" i="12"/>
  <c r="BG17" i="12"/>
  <c r="BB17" i="8"/>
  <c r="D13" i="19"/>
  <c r="Q14" i="8"/>
  <c r="BM14" i="8"/>
  <c r="H14" i="8"/>
  <c r="BG14" i="8" s="1"/>
  <c r="BK12" i="8"/>
  <c r="E9" i="16"/>
  <c r="X8" i="16"/>
  <c r="Y8" i="16" s="1"/>
  <c r="Y46" i="16" s="1"/>
  <c r="B14" i="19"/>
  <c r="D14" i="19" s="1"/>
  <c r="BD16" i="8"/>
  <c r="G15" i="8"/>
  <c r="N15" i="8"/>
  <c r="BE15" i="8"/>
  <c r="F11" i="7"/>
  <c r="O15" i="8"/>
  <c r="P15" i="8"/>
  <c r="BH13" i="8"/>
  <c r="I10" i="16"/>
  <c r="BR13" i="8"/>
  <c r="M13" i="8"/>
  <c r="BL13" i="8" s="1"/>
  <c r="R14" i="8"/>
  <c r="BN14" i="8"/>
  <c r="I14" i="8"/>
  <c r="K13" i="8"/>
  <c r="BJ13" i="8" s="1"/>
  <c r="BP13" i="8"/>
  <c r="BC17" i="8"/>
  <c r="X7" i="16"/>
  <c r="Y7" i="16" s="1"/>
  <c r="Y45" i="16" s="1"/>
  <c r="I8" i="7"/>
  <c r="S14" i="8"/>
  <c r="BO14" i="8"/>
  <c r="J14" i="8"/>
  <c r="BI14" i="8" s="1"/>
  <c r="BF14" i="8"/>
  <c r="G10" i="7"/>
  <c r="J9" i="7"/>
  <c r="J48" i="7" s="1"/>
  <c r="T9" i="7"/>
  <c r="U9" i="7" s="1"/>
  <c r="U48" i="7" s="1"/>
  <c r="BQ13" i="8"/>
  <c r="L13" i="8"/>
  <c r="E10" i="27" l="1"/>
  <c r="E43" i="22"/>
  <c r="E13" i="19"/>
  <c r="Q13" i="19" s="1"/>
  <c r="Q54" i="19" s="1"/>
  <c r="E14" i="19"/>
  <c r="E7" i="25"/>
  <c r="E7" i="28"/>
  <c r="E44" i="28" s="1"/>
  <c r="D8" i="26"/>
  <c r="E8" i="26" s="1"/>
  <c r="J8" i="20"/>
  <c r="O8" i="20" s="1"/>
  <c r="K8" i="20"/>
  <c r="P8" i="20" s="1"/>
  <c r="L8" i="20"/>
  <c r="Q8" i="20" s="1"/>
  <c r="T8" i="20" s="1"/>
  <c r="I8" i="20"/>
  <c r="N8" i="20" s="1"/>
  <c r="Q14" i="19"/>
  <c r="BU17" i="12"/>
  <c r="P12" i="16"/>
  <c r="Q12" i="16" s="1"/>
  <c r="R12" i="16" s="1"/>
  <c r="R50" i="16" s="1"/>
  <c r="BR15" i="12"/>
  <c r="B19" i="12"/>
  <c r="BG18" i="12"/>
  <c r="C19" i="12"/>
  <c r="BH18" i="12"/>
  <c r="BX16" i="12"/>
  <c r="T13" i="16"/>
  <c r="V13" i="16" s="1"/>
  <c r="W13" i="16" s="1"/>
  <c r="W51" i="16" s="1"/>
  <c r="BV17" i="12"/>
  <c r="Q11" i="16"/>
  <c r="R11" i="16" s="1"/>
  <c r="R49" i="16" s="1"/>
  <c r="BS16" i="12"/>
  <c r="BY16" i="12"/>
  <c r="BB18" i="8"/>
  <c r="G16" i="8"/>
  <c r="N16" i="8"/>
  <c r="F12" i="7"/>
  <c r="BE16" i="8"/>
  <c r="O16" i="8"/>
  <c r="P16" i="8"/>
  <c r="BP14" i="8"/>
  <c r="K14" i="8"/>
  <c r="BJ14" i="8" s="1"/>
  <c r="J8" i="7"/>
  <c r="J47" i="7" s="1"/>
  <c r="T8" i="7"/>
  <c r="U8" i="7" s="1"/>
  <c r="U47" i="7" s="1"/>
  <c r="BK13" i="8"/>
  <c r="E10" i="16"/>
  <c r="F10" i="16" s="1"/>
  <c r="G10" i="16" s="1"/>
  <c r="G48" i="16" s="1"/>
  <c r="D10" i="17"/>
  <c r="E10" i="17" s="1"/>
  <c r="E46" i="17" s="1"/>
  <c r="BC18" i="8"/>
  <c r="BH14" i="8"/>
  <c r="I11" i="16"/>
  <c r="K11" i="16" s="1"/>
  <c r="L11" i="16" s="1"/>
  <c r="L49" i="16" s="1"/>
  <c r="S15" i="8"/>
  <c r="BO15" i="8"/>
  <c r="J15" i="8"/>
  <c r="BI15" i="8" s="1"/>
  <c r="Q15" i="8"/>
  <c r="H15" i="8"/>
  <c r="BG15" i="8" s="1"/>
  <c r="BM15" i="8"/>
  <c r="BR14" i="8"/>
  <c r="M14" i="8"/>
  <c r="BL14" i="8" s="1"/>
  <c r="R15" i="8"/>
  <c r="BN15" i="8"/>
  <c r="I15" i="8"/>
  <c r="F9" i="16"/>
  <c r="G9" i="16" s="1"/>
  <c r="G47" i="16" s="1"/>
  <c r="B15" i="19"/>
  <c r="D15" i="19" s="1"/>
  <c r="BQ14" i="8"/>
  <c r="L14" i="8"/>
  <c r="B7" i="26"/>
  <c r="B6" i="28"/>
  <c r="B7" i="20"/>
  <c r="B6" i="22"/>
  <c r="B6" i="25"/>
  <c r="H10" i="7"/>
  <c r="K10" i="16"/>
  <c r="L10" i="16" s="1"/>
  <c r="L48" i="16" s="1"/>
  <c r="BF15" i="8"/>
  <c r="G11" i="7"/>
  <c r="H11" i="7" s="1"/>
  <c r="I11" i="7" s="1"/>
  <c r="D11" i="17"/>
  <c r="E11" i="17" s="1"/>
  <c r="E47" i="17" s="1"/>
  <c r="BD17" i="8"/>
  <c r="D10" i="27" l="1"/>
  <c r="E44" i="25"/>
  <c r="B9" i="22"/>
  <c r="D9" i="22" s="1"/>
  <c r="E9" i="22" s="1"/>
  <c r="Q55" i="19"/>
  <c r="B10" i="27"/>
  <c r="C10" i="27" s="1"/>
  <c r="E15" i="19"/>
  <c r="Q15" i="19" s="1"/>
  <c r="F8" i="26"/>
  <c r="F43" i="26" s="1"/>
  <c r="B9" i="25"/>
  <c r="D9" i="25" s="1"/>
  <c r="B9" i="28"/>
  <c r="D9" i="28" s="1"/>
  <c r="B10" i="20"/>
  <c r="H10" i="20" s="1"/>
  <c r="M10" i="20" s="1"/>
  <c r="B10" i="26"/>
  <c r="D10" i="26" s="1"/>
  <c r="E10" i="26" s="1"/>
  <c r="R8" i="20"/>
  <c r="BU18" i="12"/>
  <c r="B20" i="12"/>
  <c r="BG19" i="12"/>
  <c r="BV18" i="12"/>
  <c r="BX17" i="12"/>
  <c r="BS17" i="12"/>
  <c r="BY17" i="12"/>
  <c r="P13" i="16"/>
  <c r="BR16" i="12"/>
  <c r="C20" i="12"/>
  <c r="BH19" i="12"/>
  <c r="T14" i="16"/>
  <c r="V14" i="16" s="1"/>
  <c r="W14" i="16" s="1"/>
  <c r="W52" i="16" s="1"/>
  <c r="BB19" i="8"/>
  <c r="I10" i="7"/>
  <c r="J11" i="7"/>
  <c r="J50" i="7" s="1"/>
  <c r="T11" i="7"/>
  <c r="U11" i="7" s="1"/>
  <c r="U50" i="7" s="1"/>
  <c r="D6" i="22"/>
  <c r="E6" i="22" s="1"/>
  <c r="D7" i="26"/>
  <c r="BH15" i="8"/>
  <c r="I12" i="16"/>
  <c r="M15" i="8"/>
  <c r="BL15" i="8" s="1"/>
  <c r="BR15" i="8"/>
  <c r="G17" i="8"/>
  <c r="N17" i="8"/>
  <c r="BE17" i="8"/>
  <c r="F13" i="7"/>
  <c r="P17" i="8"/>
  <c r="O17" i="8"/>
  <c r="I7" i="20"/>
  <c r="L7" i="20"/>
  <c r="H7" i="20"/>
  <c r="J7" i="20"/>
  <c r="K7" i="20"/>
  <c r="BQ15" i="8"/>
  <c r="L15" i="8"/>
  <c r="BP15" i="8"/>
  <c r="K15" i="8"/>
  <c r="BJ15" i="8" s="1"/>
  <c r="BC19" i="8"/>
  <c r="X10" i="16"/>
  <c r="Y10" i="16" s="1"/>
  <c r="Y48" i="16" s="1"/>
  <c r="S16" i="8"/>
  <c r="J16" i="8"/>
  <c r="BI16" i="8" s="1"/>
  <c r="BO16" i="8"/>
  <c r="Q16" i="8"/>
  <c r="BM16" i="8"/>
  <c r="H16" i="8"/>
  <c r="BG16" i="8" s="1"/>
  <c r="B16" i="19"/>
  <c r="D16" i="19" s="1"/>
  <c r="BK14" i="8"/>
  <c r="E11" i="16"/>
  <c r="BD18" i="8"/>
  <c r="D6" i="25"/>
  <c r="E6" i="25" s="1"/>
  <c r="D6" i="28"/>
  <c r="E6" i="28" s="1"/>
  <c r="X9" i="16"/>
  <c r="Y9" i="16" s="1"/>
  <c r="Y47" i="16" s="1"/>
  <c r="R16" i="8"/>
  <c r="BN16" i="8"/>
  <c r="I16" i="8"/>
  <c r="G12" i="7"/>
  <c r="H12" i="7" s="1"/>
  <c r="I12" i="7" s="1"/>
  <c r="BF16" i="8"/>
  <c r="D12" i="17"/>
  <c r="E12" i="17" s="1"/>
  <c r="E48" i="17" s="1"/>
  <c r="B9" i="27" l="1"/>
  <c r="E43" i="28"/>
  <c r="E12" i="27"/>
  <c r="E45" i="22"/>
  <c r="D9" i="27"/>
  <c r="E43" i="25"/>
  <c r="E9" i="27"/>
  <c r="E42" i="22"/>
  <c r="B11" i="20"/>
  <c r="Q56" i="19"/>
  <c r="F10" i="27"/>
  <c r="G10" i="27" s="1"/>
  <c r="E16" i="19"/>
  <c r="Q16" i="19" s="1"/>
  <c r="S8" i="20"/>
  <c r="E9" i="25"/>
  <c r="F10" i="26"/>
  <c r="E9" i="28"/>
  <c r="E46" i="28" s="1"/>
  <c r="K10" i="20"/>
  <c r="P10" i="20" s="1"/>
  <c r="J10" i="20"/>
  <c r="O10" i="20" s="1"/>
  <c r="B10" i="22"/>
  <c r="D10" i="22" s="1"/>
  <c r="I10" i="20"/>
  <c r="N10" i="20" s="1"/>
  <c r="L10" i="20"/>
  <c r="Q10" i="20" s="1"/>
  <c r="T10" i="20" s="1"/>
  <c r="B10" i="25"/>
  <c r="D10" i="25" s="1"/>
  <c r="B10" i="28"/>
  <c r="D10" i="28" s="1"/>
  <c r="B11" i="26"/>
  <c r="D11" i="26" s="1"/>
  <c r="E11" i="26" s="1"/>
  <c r="BX18" i="12"/>
  <c r="C21" i="12"/>
  <c r="BH20" i="12"/>
  <c r="BR17" i="12"/>
  <c r="P14" i="16"/>
  <c r="Q14" i="16" s="1"/>
  <c r="R14" i="16" s="1"/>
  <c r="R52" i="16" s="1"/>
  <c r="T15" i="16"/>
  <c r="V15" i="16" s="1"/>
  <c r="W15" i="16" s="1"/>
  <c r="W53" i="16" s="1"/>
  <c r="BV19" i="12"/>
  <c r="B21" i="12"/>
  <c r="BG20" i="12"/>
  <c r="BU19" i="12"/>
  <c r="Q13" i="16"/>
  <c r="R13" i="16" s="1"/>
  <c r="R51" i="16" s="1"/>
  <c r="BS18" i="12"/>
  <c r="BY18" i="12"/>
  <c r="BB20" i="8"/>
  <c r="BR16" i="8"/>
  <c r="M16" i="8"/>
  <c r="BL16" i="8" s="1"/>
  <c r="BK15" i="8"/>
  <c r="E12" i="16"/>
  <c r="F12" i="16" s="1"/>
  <c r="G12" i="16" s="1"/>
  <c r="G50" i="16" s="1"/>
  <c r="J12" i="7"/>
  <c r="J51" i="7" s="1"/>
  <c r="T12" i="7"/>
  <c r="U12" i="7" s="1"/>
  <c r="U51" i="7" s="1"/>
  <c r="BH16" i="8"/>
  <c r="I13" i="16"/>
  <c r="K13" i="16" s="1"/>
  <c r="L13" i="16" s="1"/>
  <c r="L51" i="16" s="1"/>
  <c r="F11" i="16"/>
  <c r="G11" i="16" s="1"/>
  <c r="G49" i="16" s="1"/>
  <c r="BD19" i="8"/>
  <c r="O7" i="20"/>
  <c r="N7" i="20"/>
  <c r="E7" i="26"/>
  <c r="F7" i="26" s="1"/>
  <c r="K12" i="16"/>
  <c r="L12" i="16" s="1"/>
  <c r="L50" i="16" s="1"/>
  <c r="B8" i="28"/>
  <c r="B9" i="20"/>
  <c r="B9" i="26"/>
  <c r="B8" i="22"/>
  <c r="B8" i="25"/>
  <c r="B17" i="19"/>
  <c r="BQ16" i="8"/>
  <c r="L16" i="8"/>
  <c r="G18" i="8"/>
  <c r="N18" i="8"/>
  <c r="BE18" i="8"/>
  <c r="F14" i="7"/>
  <c r="O18" i="8"/>
  <c r="P18" i="8"/>
  <c r="BP16" i="8"/>
  <c r="K16" i="8"/>
  <c r="BJ16" i="8" s="1"/>
  <c r="M7" i="20"/>
  <c r="R17" i="8"/>
  <c r="BN17" i="8"/>
  <c r="I17" i="8"/>
  <c r="Q17" i="8"/>
  <c r="BM17" i="8"/>
  <c r="H17" i="8"/>
  <c r="BG17" i="8" s="1"/>
  <c r="I11" i="20"/>
  <c r="N11" i="20" s="1"/>
  <c r="H11" i="20"/>
  <c r="M11" i="20" s="1"/>
  <c r="L11" i="20"/>
  <c r="Q11" i="20" s="1"/>
  <c r="T11" i="20" s="1"/>
  <c r="J11" i="20"/>
  <c r="O11" i="20" s="1"/>
  <c r="K11" i="20"/>
  <c r="P11" i="20" s="1"/>
  <c r="BC20" i="8"/>
  <c r="P7" i="20"/>
  <c r="Q7" i="20"/>
  <c r="S17" i="8"/>
  <c r="BO17" i="8"/>
  <c r="J17" i="8"/>
  <c r="BI17" i="8" s="1"/>
  <c r="BF17" i="8"/>
  <c r="G13" i="7"/>
  <c r="H13" i="7" s="1"/>
  <c r="I13" i="7" s="1"/>
  <c r="D13" i="17"/>
  <c r="E13" i="17" s="1"/>
  <c r="E49" i="17" s="1"/>
  <c r="J10" i="7"/>
  <c r="J49" i="7" s="1"/>
  <c r="T10" i="7"/>
  <c r="U10" i="7" s="1"/>
  <c r="U49" i="7" s="1"/>
  <c r="F9" i="27" l="1"/>
  <c r="F42" i="26"/>
  <c r="F12" i="27"/>
  <c r="F45" i="26"/>
  <c r="D12" i="27"/>
  <c r="E46" i="25"/>
  <c r="U8" i="20"/>
  <c r="U47" i="20" s="1"/>
  <c r="S47" i="20"/>
  <c r="B12" i="26"/>
  <c r="D12" i="26" s="1"/>
  <c r="E12" i="26" s="1"/>
  <c r="F12" i="26" s="1"/>
  <c r="Q57" i="19"/>
  <c r="B12" i="27"/>
  <c r="C12" i="27" s="1"/>
  <c r="F11" i="26"/>
  <c r="E10" i="22"/>
  <c r="E10" i="25"/>
  <c r="E10" i="28"/>
  <c r="E47" i="28" s="1"/>
  <c r="R10" i="20"/>
  <c r="B11" i="28"/>
  <c r="D11" i="28" s="1"/>
  <c r="B11" i="25"/>
  <c r="D11" i="25" s="1"/>
  <c r="B11" i="22"/>
  <c r="D11" i="22" s="1"/>
  <c r="B12" i="20"/>
  <c r="H12" i="20" s="1"/>
  <c r="M12" i="20" s="1"/>
  <c r="C9" i="27"/>
  <c r="T16" i="16"/>
  <c r="V16" i="16" s="1"/>
  <c r="W16" i="16" s="1"/>
  <c r="W54" i="16" s="1"/>
  <c r="BS19" i="12"/>
  <c r="BY19" i="12"/>
  <c r="C22" i="12"/>
  <c r="BH21" i="12"/>
  <c r="BX19" i="12"/>
  <c r="B22" i="12"/>
  <c r="BG21" i="12"/>
  <c r="BU20" i="12"/>
  <c r="BV20" i="12"/>
  <c r="BR18" i="12"/>
  <c r="P15" i="16"/>
  <c r="Q15" i="16" s="1"/>
  <c r="R15" i="16" s="1"/>
  <c r="R53" i="16" s="1"/>
  <c r="BB21" i="8"/>
  <c r="J13" i="7"/>
  <c r="J52" i="7" s="1"/>
  <c r="T13" i="7"/>
  <c r="U13" i="7" s="1"/>
  <c r="U52" i="7" s="1"/>
  <c r="BH17" i="8"/>
  <c r="I14" i="16"/>
  <c r="D8" i="28"/>
  <c r="E8" i="28" s="1"/>
  <c r="G19" i="8"/>
  <c r="N19" i="8"/>
  <c r="BE19" i="8"/>
  <c r="F15" i="7"/>
  <c r="O19" i="8"/>
  <c r="P19" i="8"/>
  <c r="T7" i="20"/>
  <c r="BD20" i="8"/>
  <c r="R11" i="20"/>
  <c r="BP17" i="8"/>
  <c r="K17" i="8"/>
  <c r="BJ17" i="8" s="1"/>
  <c r="BK16" i="8"/>
  <c r="E13" i="16"/>
  <c r="I9" i="20"/>
  <c r="J9" i="20"/>
  <c r="L9" i="20"/>
  <c r="H9" i="20"/>
  <c r="K9" i="20"/>
  <c r="X11" i="16"/>
  <c r="Y11" i="16" s="1"/>
  <c r="Y49" i="16" s="1"/>
  <c r="M17" i="8"/>
  <c r="BL17" i="8" s="1"/>
  <c r="BR17" i="8"/>
  <c r="BC21" i="8"/>
  <c r="D8" i="25"/>
  <c r="E8" i="25" s="1"/>
  <c r="B18" i="19"/>
  <c r="D18" i="19" s="1"/>
  <c r="S18" i="8"/>
  <c r="BO18" i="8"/>
  <c r="J18" i="8"/>
  <c r="BI18" i="8" s="1"/>
  <c r="Q18" i="8"/>
  <c r="BM18" i="8"/>
  <c r="H18" i="8"/>
  <c r="BG18" i="8" s="1"/>
  <c r="D17" i="19"/>
  <c r="D8" i="22"/>
  <c r="E8" i="22" s="1"/>
  <c r="X12" i="16"/>
  <c r="Y12" i="16" s="1"/>
  <c r="Y50" i="16" s="1"/>
  <c r="R7" i="20"/>
  <c r="S7" i="20" s="1"/>
  <c r="S46" i="20" s="1"/>
  <c r="BQ17" i="8"/>
  <c r="L17" i="8"/>
  <c r="R18" i="8"/>
  <c r="BN18" i="8"/>
  <c r="I18" i="8"/>
  <c r="G14" i="7"/>
  <c r="H14" i="7" s="1"/>
  <c r="I14" i="7" s="1"/>
  <c r="BF18" i="8"/>
  <c r="D14" i="17"/>
  <c r="E14" i="17" s="1"/>
  <c r="E50" i="17" s="1"/>
  <c r="D9" i="26"/>
  <c r="N10" i="27" l="1"/>
  <c r="O10" i="27" s="1"/>
  <c r="R10" i="27" s="1"/>
  <c r="G12" i="27"/>
  <c r="D13" i="27"/>
  <c r="E47" i="25"/>
  <c r="E13" i="27"/>
  <c r="E46" i="22"/>
  <c r="D11" i="27"/>
  <c r="E45" i="25"/>
  <c r="F13" i="27"/>
  <c r="F46" i="26"/>
  <c r="E11" i="27"/>
  <c r="E44" i="22"/>
  <c r="B11" i="27"/>
  <c r="E45" i="28"/>
  <c r="F14" i="27"/>
  <c r="F47" i="26"/>
  <c r="B13" i="27"/>
  <c r="C13" i="27" s="1"/>
  <c r="E18" i="19"/>
  <c r="E17" i="19"/>
  <c r="Q17" i="19" s="1"/>
  <c r="Q58" i="19" s="1"/>
  <c r="S11" i="20"/>
  <c r="S10" i="20"/>
  <c r="E11" i="22"/>
  <c r="E11" i="25"/>
  <c r="E11" i="28"/>
  <c r="E48" i="28" s="1"/>
  <c r="I12" i="20"/>
  <c r="N12" i="20" s="1"/>
  <c r="J12" i="20"/>
  <c r="O12" i="20" s="1"/>
  <c r="L12" i="20"/>
  <c r="Q12" i="20" s="1"/>
  <c r="T12" i="20" s="1"/>
  <c r="K12" i="20"/>
  <c r="P12" i="20" s="1"/>
  <c r="Q18" i="19"/>
  <c r="G9" i="27"/>
  <c r="BS20" i="12"/>
  <c r="BY20" i="12"/>
  <c r="BX20" i="12"/>
  <c r="BR19" i="12"/>
  <c r="P16" i="16"/>
  <c r="Q16" i="16" s="1"/>
  <c r="R16" i="16" s="1"/>
  <c r="R54" i="16" s="1"/>
  <c r="C23" i="12"/>
  <c r="BH22" i="12"/>
  <c r="BU21" i="12"/>
  <c r="T17" i="16"/>
  <c r="V17" i="16" s="1"/>
  <c r="W17" i="16" s="1"/>
  <c r="W55" i="16" s="1"/>
  <c r="B23" i="12"/>
  <c r="BG22" i="12"/>
  <c r="BV21" i="12"/>
  <c r="BB22" i="8"/>
  <c r="B19" i="19"/>
  <c r="D19" i="19" s="1"/>
  <c r="BQ18" i="8"/>
  <c r="L18" i="8"/>
  <c r="J14" i="7"/>
  <c r="J53" i="7" s="1"/>
  <c r="T14" i="7"/>
  <c r="U14" i="7" s="1"/>
  <c r="U53" i="7" s="1"/>
  <c r="BK17" i="8"/>
  <c r="E14" i="16"/>
  <c r="F14" i="16" s="1"/>
  <c r="G14" i="16" s="1"/>
  <c r="G52" i="16" s="1"/>
  <c r="BR18" i="8"/>
  <c r="M18" i="8"/>
  <c r="BL18" i="8" s="1"/>
  <c r="M9" i="20"/>
  <c r="F13" i="16"/>
  <c r="G13" i="16" s="1"/>
  <c r="G51" i="16" s="1"/>
  <c r="G20" i="8"/>
  <c r="N20" i="8"/>
  <c r="F16" i="7"/>
  <c r="BE20" i="8"/>
  <c r="O20" i="8"/>
  <c r="P20" i="8"/>
  <c r="R19" i="8"/>
  <c r="BN19" i="8"/>
  <c r="I19" i="8"/>
  <c r="BF19" i="8"/>
  <c r="G15" i="7"/>
  <c r="H15" i="7" s="1"/>
  <c r="I15" i="7" s="1"/>
  <c r="D15" i="17"/>
  <c r="E15" i="17" s="1"/>
  <c r="E51" i="17" s="1"/>
  <c r="E9" i="26"/>
  <c r="F9" i="26" s="1"/>
  <c r="BD21" i="8"/>
  <c r="O9" i="20"/>
  <c r="I15" i="16"/>
  <c r="K15" i="16" s="1"/>
  <c r="L15" i="16" s="1"/>
  <c r="L53" i="16" s="1"/>
  <c r="BH18" i="8"/>
  <c r="BP18" i="8"/>
  <c r="K18" i="8"/>
  <c r="BJ18" i="8" s="1"/>
  <c r="Q9" i="20"/>
  <c r="BC22" i="8"/>
  <c r="P9" i="20"/>
  <c r="N9" i="20"/>
  <c r="S19" i="8"/>
  <c r="J19" i="8"/>
  <c r="BI19" i="8" s="1"/>
  <c r="BO19" i="8"/>
  <c r="Q19" i="8"/>
  <c r="BM19" i="8"/>
  <c r="H19" i="8"/>
  <c r="BG19" i="8" s="1"/>
  <c r="K14" i="16"/>
  <c r="L14" i="16" s="1"/>
  <c r="L52" i="16" s="1"/>
  <c r="G13" i="27" l="1"/>
  <c r="F11" i="27"/>
  <c r="F44" i="26"/>
  <c r="U10" i="20"/>
  <c r="U49" i="20" s="1"/>
  <c r="S49" i="20"/>
  <c r="U11" i="20"/>
  <c r="U50" i="20" s="1"/>
  <c r="S50" i="20"/>
  <c r="D14" i="27"/>
  <c r="E48" i="25"/>
  <c r="E14" i="27"/>
  <c r="E47" i="22"/>
  <c r="B13" i="25"/>
  <c r="D13" i="25" s="1"/>
  <c r="E13" i="25" s="1"/>
  <c r="Q59" i="19"/>
  <c r="B14" i="27"/>
  <c r="C14" i="27" s="1"/>
  <c r="E19" i="19"/>
  <c r="Q19" i="19"/>
  <c r="B13" i="28"/>
  <c r="D13" i="28" s="1"/>
  <c r="R12" i="20"/>
  <c r="B14" i="20"/>
  <c r="I14" i="20" s="1"/>
  <c r="N14" i="20" s="1"/>
  <c r="B14" i="26"/>
  <c r="D14" i="26" s="1"/>
  <c r="E14" i="26" s="1"/>
  <c r="B13" i="22"/>
  <c r="D13" i="22" s="1"/>
  <c r="C11" i="27"/>
  <c r="BX21" i="12"/>
  <c r="C24" i="12"/>
  <c r="BH23" i="12"/>
  <c r="BR20" i="12"/>
  <c r="P17" i="16"/>
  <c r="Q17" i="16" s="1"/>
  <c r="R17" i="16" s="1"/>
  <c r="R55" i="16" s="1"/>
  <c r="BS21" i="12"/>
  <c r="BY21" i="12"/>
  <c r="BV22" i="12"/>
  <c r="B24" i="12"/>
  <c r="BG23" i="12"/>
  <c r="T18" i="16"/>
  <c r="V18" i="16" s="1"/>
  <c r="W18" i="16" s="1"/>
  <c r="W56" i="16" s="1"/>
  <c r="BU22" i="12"/>
  <c r="BB23" i="8"/>
  <c r="R20" i="8"/>
  <c r="BN20" i="8"/>
  <c r="I20" i="8"/>
  <c r="BP19" i="8"/>
  <c r="K19" i="8"/>
  <c r="BJ19" i="8" s="1"/>
  <c r="BD22" i="8"/>
  <c r="U7" i="20"/>
  <c r="BH19" i="8"/>
  <c r="I16" i="16"/>
  <c r="K16" i="16" s="1"/>
  <c r="L16" i="16" s="1"/>
  <c r="L54" i="16" s="1"/>
  <c r="S20" i="8"/>
  <c r="BO20" i="8"/>
  <c r="J20" i="8"/>
  <c r="BI20" i="8" s="1"/>
  <c r="Q20" i="8"/>
  <c r="BM20" i="8"/>
  <c r="H20" i="8"/>
  <c r="BG20" i="8" s="1"/>
  <c r="X13" i="16"/>
  <c r="Y13" i="16" s="1"/>
  <c r="Y51" i="16" s="1"/>
  <c r="BC23" i="8"/>
  <c r="BF20" i="8"/>
  <c r="G16" i="7"/>
  <c r="H16" i="7" s="1"/>
  <c r="I16" i="7" s="1"/>
  <c r="D16" i="17"/>
  <c r="E16" i="17" s="1"/>
  <c r="E52" i="17" s="1"/>
  <c r="X14" i="16"/>
  <c r="Y14" i="16" s="1"/>
  <c r="Y52" i="16" s="1"/>
  <c r="BR19" i="8"/>
  <c r="M19" i="8"/>
  <c r="BL19" i="8" s="1"/>
  <c r="T9" i="20"/>
  <c r="J15" i="7"/>
  <c r="J54" i="7" s="1"/>
  <c r="T15" i="7"/>
  <c r="U15" i="7" s="1"/>
  <c r="U54" i="7" s="1"/>
  <c r="BQ19" i="8"/>
  <c r="L19" i="8"/>
  <c r="R9" i="20"/>
  <c r="S9" i="20" s="1"/>
  <c r="S48" i="20" s="1"/>
  <c r="BK18" i="8"/>
  <c r="E15" i="16"/>
  <c r="F15" i="16" s="1"/>
  <c r="G15" i="16" s="1"/>
  <c r="G53" i="16" s="1"/>
  <c r="G21" i="8"/>
  <c r="N21" i="8"/>
  <c r="BE21" i="8"/>
  <c r="F17" i="7"/>
  <c r="P21" i="8"/>
  <c r="O21" i="8"/>
  <c r="B20" i="19"/>
  <c r="D20" i="19" s="1"/>
  <c r="G14" i="27" l="1"/>
  <c r="N13" i="27"/>
  <c r="O13" i="27" s="1"/>
  <c r="R13" i="27" s="1"/>
  <c r="N12" i="27"/>
  <c r="O12" i="27" s="1"/>
  <c r="R12" i="27" s="1"/>
  <c r="N9" i="27"/>
  <c r="O9" i="27" s="1"/>
  <c r="U46" i="20"/>
  <c r="D16" i="27"/>
  <c r="E50" i="25"/>
  <c r="B14" i="25"/>
  <c r="D14" i="25" s="1"/>
  <c r="E14" i="25" s="1"/>
  <c r="Q60" i="19"/>
  <c r="E20" i="19"/>
  <c r="F14" i="26"/>
  <c r="S12" i="20"/>
  <c r="E13" i="22"/>
  <c r="E13" i="28"/>
  <c r="E50" i="28" s="1"/>
  <c r="L14" i="20"/>
  <c r="Q14" i="20" s="1"/>
  <c r="T14" i="20" s="1"/>
  <c r="K14" i="20"/>
  <c r="P14" i="20" s="1"/>
  <c r="J14" i="20"/>
  <c r="O14" i="20" s="1"/>
  <c r="H14" i="20"/>
  <c r="M14" i="20" s="1"/>
  <c r="B15" i="26"/>
  <c r="D15" i="26" s="1"/>
  <c r="E15" i="26" s="1"/>
  <c r="B15" i="20"/>
  <c r="J15" i="20" s="1"/>
  <c r="O15" i="20" s="1"/>
  <c r="B14" i="28"/>
  <c r="D14" i="28" s="1"/>
  <c r="B14" i="22"/>
  <c r="D14" i="22" s="1"/>
  <c r="Q20" i="19"/>
  <c r="Q61" i="19" s="1"/>
  <c r="G11" i="27"/>
  <c r="BX22" i="12"/>
  <c r="BS22" i="12"/>
  <c r="BY22" i="12"/>
  <c r="C25" i="12"/>
  <c r="BH24" i="12"/>
  <c r="T19" i="16"/>
  <c r="V19" i="16" s="1"/>
  <c r="W19" i="16" s="1"/>
  <c r="W57" i="16" s="1"/>
  <c r="B25" i="12"/>
  <c r="BG24" i="12"/>
  <c r="BU23" i="12"/>
  <c r="BV23" i="12"/>
  <c r="BR21" i="12"/>
  <c r="P18" i="16"/>
  <c r="Q18" i="16" s="1"/>
  <c r="R18" i="16" s="1"/>
  <c r="R56" i="16" s="1"/>
  <c r="BB24" i="8"/>
  <c r="BC24" i="8"/>
  <c r="B12" i="28"/>
  <c r="B13" i="20"/>
  <c r="B13" i="26"/>
  <c r="B12" i="22"/>
  <c r="B12" i="25"/>
  <c r="X15" i="16"/>
  <c r="Y15" i="16" s="1"/>
  <c r="Y53" i="16" s="1"/>
  <c r="BK19" i="8"/>
  <c r="E16" i="16"/>
  <c r="F16" i="16" s="1"/>
  <c r="G16" i="16" s="1"/>
  <c r="G54" i="16" s="1"/>
  <c r="Q21" i="8"/>
  <c r="BM21" i="8"/>
  <c r="H21" i="8"/>
  <c r="BG21" i="8" s="1"/>
  <c r="BQ20" i="8"/>
  <c r="L20" i="8"/>
  <c r="S21" i="8"/>
  <c r="BO21" i="8"/>
  <c r="J21" i="8"/>
  <c r="BI21" i="8" s="1"/>
  <c r="J16" i="7"/>
  <c r="J55" i="7" s="1"/>
  <c r="T16" i="7"/>
  <c r="U16" i="7" s="1"/>
  <c r="U55" i="7" s="1"/>
  <c r="BR20" i="8"/>
  <c r="M20" i="8"/>
  <c r="BL20" i="8" s="1"/>
  <c r="R21" i="8"/>
  <c r="BN21" i="8"/>
  <c r="I21" i="8"/>
  <c r="BF21" i="8"/>
  <c r="G17" i="7"/>
  <c r="H17" i="7" s="1"/>
  <c r="I17" i="7" s="1"/>
  <c r="D17" i="17"/>
  <c r="E17" i="17" s="1"/>
  <c r="E53" i="17" s="1"/>
  <c r="B21" i="19"/>
  <c r="D21" i="19" s="1"/>
  <c r="BD23" i="8"/>
  <c r="BP20" i="8"/>
  <c r="K20" i="8"/>
  <c r="BJ20" i="8" s="1"/>
  <c r="G22" i="8"/>
  <c r="N22" i="8"/>
  <c r="BE22" i="8"/>
  <c r="F18" i="7"/>
  <c r="P22" i="8"/>
  <c r="O22" i="8"/>
  <c r="BH20" i="8"/>
  <c r="I17" i="16"/>
  <c r="K17" i="16" s="1"/>
  <c r="L17" i="16" s="1"/>
  <c r="L55" i="16" s="1"/>
  <c r="F16" i="27" l="1"/>
  <c r="F49" i="26"/>
  <c r="E16" i="27"/>
  <c r="E49" i="22"/>
  <c r="U12" i="20"/>
  <c r="U51" i="20" s="1"/>
  <c r="S51" i="20"/>
  <c r="D17" i="27"/>
  <c r="E51" i="25"/>
  <c r="N14" i="27"/>
  <c r="O14" i="27" s="1"/>
  <c r="R14" i="27" s="1"/>
  <c r="B16" i="27"/>
  <c r="C16" i="27" s="1"/>
  <c r="G16" i="27"/>
  <c r="E21" i="19"/>
  <c r="Q21" i="19" s="1"/>
  <c r="F15" i="26"/>
  <c r="E14" i="22"/>
  <c r="E14" i="28"/>
  <c r="E51" i="28" s="1"/>
  <c r="K15" i="20"/>
  <c r="P15" i="20" s="1"/>
  <c r="H15" i="20"/>
  <c r="M15" i="20" s="1"/>
  <c r="L15" i="20"/>
  <c r="Q15" i="20" s="1"/>
  <c r="T15" i="20" s="1"/>
  <c r="I15" i="20"/>
  <c r="N15" i="20" s="1"/>
  <c r="R14" i="20"/>
  <c r="BX23" i="12"/>
  <c r="B26" i="12"/>
  <c r="BG25" i="12"/>
  <c r="BV24" i="12"/>
  <c r="BS23" i="12"/>
  <c r="BY23" i="12"/>
  <c r="T20" i="16"/>
  <c r="V20" i="16" s="1"/>
  <c r="W20" i="16" s="1"/>
  <c r="W58" i="16" s="1"/>
  <c r="BU24" i="12"/>
  <c r="C26" i="12"/>
  <c r="BH25" i="12"/>
  <c r="P19" i="16"/>
  <c r="Q19" i="16" s="1"/>
  <c r="R19" i="16" s="1"/>
  <c r="R57" i="16" s="1"/>
  <c r="BR22" i="12"/>
  <c r="BB25" i="8"/>
  <c r="B22" i="19"/>
  <c r="D22" i="19" s="1"/>
  <c r="U9" i="20"/>
  <c r="R22" i="8"/>
  <c r="I22" i="8"/>
  <c r="BN22" i="8"/>
  <c r="Q22" i="8"/>
  <c r="BM22" i="8"/>
  <c r="H22" i="8"/>
  <c r="BG22" i="8" s="1"/>
  <c r="S22" i="8"/>
  <c r="BO22" i="8"/>
  <c r="J22" i="8"/>
  <c r="BI22" i="8" s="1"/>
  <c r="BF22" i="8"/>
  <c r="G18" i="7"/>
  <c r="H18" i="7" s="1"/>
  <c r="I18" i="7" s="1"/>
  <c r="D18" i="17"/>
  <c r="E18" i="17" s="1"/>
  <c r="E54" i="17" s="1"/>
  <c r="J17" i="7"/>
  <c r="J56" i="7" s="1"/>
  <c r="T17" i="7"/>
  <c r="U17" i="7" s="1"/>
  <c r="U56" i="7" s="1"/>
  <c r="BQ21" i="8"/>
  <c r="L21" i="8"/>
  <c r="BR21" i="8"/>
  <c r="M21" i="8"/>
  <c r="BL21" i="8" s="1"/>
  <c r="D12" i="25"/>
  <c r="E12" i="25" s="1"/>
  <c r="D12" i="28"/>
  <c r="E12" i="28" s="1"/>
  <c r="BK20" i="8"/>
  <c r="E17" i="16"/>
  <c r="F17" i="16" s="1"/>
  <c r="G17" i="16" s="1"/>
  <c r="G55" i="16" s="1"/>
  <c r="X16" i="16"/>
  <c r="Y16" i="16" s="1"/>
  <c r="Y54" i="16" s="1"/>
  <c r="BD24" i="8"/>
  <c r="BH21" i="8"/>
  <c r="I18" i="16"/>
  <c r="K18" i="16" s="1"/>
  <c r="L18" i="16" s="1"/>
  <c r="L56" i="16" s="1"/>
  <c r="BP21" i="8"/>
  <c r="K21" i="8"/>
  <c r="BJ21" i="8" s="1"/>
  <c r="D13" i="26"/>
  <c r="BC25" i="8"/>
  <c r="G23" i="8"/>
  <c r="N23" i="8"/>
  <c r="BE23" i="8"/>
  <c r="F19" i="7"/>
  <c r="P23" i="8"/>
  <c r="O23" i="8"/>
  <c r="D12" i="22"/>
  <c r="E12" i="22" s="1"/>
  <c r="H13" i="20"/>
  <c r="J13" i="20"/>
  <c r="K13" i="20"/>
  <c r="L13" i="20"/>
  <c r="I13" i="20"/>
  <c r="E15" i="27" l="1"/>
  <c r="E48" i="22"/>
  <c r="B15" i="27"/>
  <c r="E49" i="28"/>
  <c r="N11" i="27"/>
  <c r="U48" i="20"/>
  <c r="D15" i="27"/>
  <c r="E49" i="25"/>
  <c r="E17" i="27"/>
  <c r="E50" i="22"/>
  <c r="F17" i="27"/>
  <c r="G17" i="27" s="1"/>
  <c r="F50" i="26"/>
  <c r="B16" i="22"/>
  <c r="D16" i="22" s="1"/>
  <c r="E16" i="22" s="1"/>
  <c r="Q62" i="19"/>
  <c r="B17" i="27"/>
  <c r="C17" i="27" s="1"/>
  <c r="E22" i="19"/>
  <c r="Q22" i="19" s="1"/>
  <c r="S14" i="20"/>
  <c r="R15" i="20"/>
  <c r="S15" i="20" s="1"/>
  <c r="B16" i="28"/>
  <c r="D16" i="28" s="1"/>
  <c r="B16" i="25"/>
  <c r="D16" i="25" s="1"/>
  <c r="B17" i="20"/>
  <c r="J17" i="20" s="1"/>
  <c r="O17" i="20" s="1"/>
  <c r="B17" i="26"/>
  <c r="D17" i="26" s="1"/>
  <c r="E17" i="26" s="1"/>
  <c r="O11" i="27"/>
  <c r="T21" i="16"/>
  <c r="V21" i="16" s="1"/>
  <c r="W21" i="16" s="1"/>
  <c r="W59" i="16" s="1"/>
  <c r="C27" i="12"/>
  <c r="BH26" i="12"/>
  <c r="B27" i="12"/>
  <c r="BG26" i="12"/>
  <c r="BV25" i="12"/>
  <c r="BX24" i="12"/>
  <c r="BS24" i="12"/>
  <c r="BY24" i="12"/>
  <c r="BU25" i="12"/>
  <c r="P20" i="16"/>
  <c r="Q20" i="16" s="1"/>
  <c r="R20" i="16" s="1"/>
  <c r="R58" i="16" s="1"/>
  <c r="BR23" i="12"/>
  <c r="BB26" i="8"/>
  <c r="O13" i="20"/>
  <c r="N13" i="20"/>
  <c r="M13" i="20"/>
  <c r="Q13" i="20"/>
  <c r="S23" i="8"/>
  <c r="BO23" i="8"/>
  <c r="J23" i="8"/>
  <c r="BI23" i="8" s="1"/>
  <c r="BF23" i="8"/>
  <c r="G19" i="7"/>
  <c r="H19" i="7" s="1"/>
  <c r="I19" i="7" s="1"/>
  <c r="D19" i="17"/>
  <c r="E19" i="17" s="1"/>
  <c r="E55" i="17" s="1"/>
  <c r="BD25" i="8"/>
  <c r="B15" i="28"/>
  <c r="B15" i="22"/>
  <c r="B16" i="26"/>
  <c r="B15" i="25"/>
  <c r="B16" i="20"/>
  <c r="B23" i="19"/>
  <c r="D23" i="19" s="1"/>
  <c r="BH22" i="8"/>
  <c r="I19" i="16"/>
  <c r="K19" i="16" s="1"/>
  <c r="L19" i="16" s="1"/>
  <c r="L57" i="16" s="1"/>
  <c r="BC26" i="8"/>
  <c r="E13" i="26"/>
  <c r="F13" i="26" s="1"/>
  <c r="G24" i="8"/>
  <c r="N24" i="8"/>
  <c r="BE24" i="8"/>
  <c r="F20" i="7"/>
  <c r="P24" i="8"/>
  <c r="O24" i="8"/>
  <c r="X17" i="16"/>
  <c r="Y17" i="16" s="1"/>
  <c r="Y55" i="16" s="1"/>
  <c r="R9" i="27"/>
  <c r="BK21" i="8"/>
  <c r="E18" i="16"/>
  <c r="F18" i="16" s="1"/>
  <c r="G18" i="16" s="1"/>
  <c r="G56" i="16" s="1"/>
  <c r="BQ22" i="8"/>
  <c r="L22" i="8"/>
  <c r="P13" i="20"/>
  <c r="R23" i="8"/>
  <c r="BN23" i="8"/>
  <c r="I23" i="8"/>
  <c r="Q23" i="8"/>
  <c r="BM23" i="8"/>
  <c r="H23" i="8"/>
  <c r="BG23" i="8" s="1"/>
  <c r="J18" i="7"/>
  <c r="J57" i="7" s="1"/>
  <c r="T18" i="7"/>
  <c r="U18" i="7" s="1"/>
  <c r="U57" i="7" s="1"/>
  <c r="BR22" i="8"/>
  <c r="M22" i="8"/>
  <c r="BL22" i="8" s="1"/>
  <c r="BP22" i="8"/>
  <c r="K22" i="8"/>
  <c r="BJ22" i="8" s="1"/>
  <c r="U15" i="20" l="1"/>
  <c r="U54" i="20" s="1"/>
  <c r="S54" i="20"/>
  <c r="F15" i="27"/>
  <c r="F48" i="26"/>
  <c r="U14" i="20"/>
  <c r="U53" i="20" s="1"/>
  <c r="S53" i="20"/>
  <c r="E19" i="27"/>
  <c r="E52" i="22"/>
  <c r="B17" i="28"/>
  <c r="D17" i="28" s="1"/>
  <c r="E17" i="28" s="1"/>
  <c r="Q63" i="19"/>
  <c r="N17" i="27"/>
  <c r="O17" i="27" s="1"/>
  <c r="R17" i="27" s="1"/>
  <c r="N16" i="27"/>
  <c r="O16" i="27" s="1"/>
  <c r="R16" i="27" s="1"/>
  <c r="E23" i="19"/>
  <c r="Q23" i="19" s="1"/>
  <c r="F17" i="26"/>
  <c r="E16" i="25"/>
  <c r="E16" i="28"/>
  <c r="E53" i="28" s="1"/>
  <c r="I17" i="20"/>
  <c r="N17" i="20" s="1"/>
  <c r="H17" i="20"/>
  <c r="M17" i="20" s="1"/>
  <c r="B18" i="26"/>
  <c r="D18" i="26" s="1"/>
  <c r="E18" i="26" s="1"/>
  <c r="L17" i="20"/>
  <c r="Q17" i="20" s="1"/>
  <c r="T17" i="20" s="1"/>
  <c r="B17" i="25"/>
  <c r="D17" i="25" s="1"/>
  <c r="B17" i="22"/>
  <c r="D17" i="22" s="1"/>
  <c r="B18" i="20"/>
  <c r="L18" i="20" s="1"/>
  <c r="Q18" i="20" s="1"/>
  <c r="T18" i="20" s="1"/>
  <c r="K17" i="20"/>
  <c r="P17" i="20" s="1"/>
  <c r="C15" i="27"/>
  <c r="BX25" i="12"/>
  <c r="B28" i="12"/>
  <c r="BG27" i="12"/>
  <c r="C28" i="12"/>
  <c r="BH27" i="12"/>
  <c r="P21" i="16"/>
  <c r="Q21" i="16" s="1"/>
  <c r="R21" i="16" s="1"/>
  <c r="R59" i="16" s="1"/>
  <c r="BR24" i="12"/>
  <c r="BS25" i="12"/>
  <c r="BY25" i="12"/>
  <c r="BV26" i="12"/>
  <c r="T22" i="16"/>
  <c r="V22" i="16" s="1"/>
  <c r="W22" i="16" s="1"/>
  <c r="W60" i="16" s="1"/>
  <c r="BU26" i="12"/>
  <c r="BB27" i="8"/>
  <c r="BP23" i="8"/>
  <c r="K23" i="8"/>
  <c r="BJ23" i="8" s="1"/>
  <c r="BK22" i="8"/>
  <c r="E19" i="16"/>
  <c r="F19" i="16" s="1"/>
  <c r="G19" i="16" s="1"/>
  <c r="G57" i="16" s="1"/>
  <c r="X18" i="16"/>
  <c r="Y18" i="16" s="1"/>
  <c r="Y56" i="16" s="1"/>
  <c r="H16" i="20"/>
  <c r="L16" i="20"/>
  <c r="J16" i="20"/>
  <c r="I16" i="20"/>
  <c r="K16" i="20"/>
  <c r="D15" i="28"/>
  <c r="E15" i="28" s="1"/>
  <c r="J19" i="7"/>
  <c r="J58" i="7" s="1"/>
  <c r="T19" i="7"/>
  <c r="U19" i="7" s="1"/>
  <c r="U58" i="7" s="1"/>
  <c r="BR23" i="8"/>
  <c r="M23" i="8"/>
  <c r="BL23" i="8" s="1"/>
  <c r="BH23" i="8"/>
  <c r="I20" i="16"/>
  <c r="K20" i="16" s="1"/>
  <c r="L20" i="16" s="1"/>
  <c r="L58" i="16" s="1"/>
  <c r="D15" i="25"/>
  <c r="E15" i="25" s="1"/>
  <c r="R24" i="8"/>
  <c r="BN24" i="8"/>
  <c r="I24" i="8"/>
  <c r="Q24" i="8"/>
  <c r="BM24" i="8"/>
  <c r="H24" i="8"/>
  <c r="BG24" i="8" s="1"/>
  <c r="BD26" i="8"/>
  <c r="D16" i="26"/>
  <c r="G25" i="8"/>
  <c r="N25" i="8"/>
  <c r="BE25" i="8"/>
  <c r="F21" i="7"/>
  <c r="O25" i="8"/>
  <c r="P25" i="8"/>
  <c r="B24" i="19"/>
  <c r="D24" i="19" s="1"/>
  <c r="R13" i="20"/>
  <c r="S13" i="20" s="1"/>
  <c r="S52" i="20" s="1"/>
  <c r="BQ23" i="8"/>
  <c r="L23" i="8"/>
  <c r="S24" i="8"/>
  <c r="BO24" i="8"/>
  <c r="J24" i="8"/>
  <c r="BI24" i="8" s="1"/>
  <c r="BF24" i="8"/>
  <c r="G20" i="7"/>
  <c r="H20" i="7" s="1"/>
  <c r="I20" i="7" s="1"/>
  <c r="D20" i="17"/>
  <c r="E20" i="17" s="1"/>
  <c r="E56" i="17" s="1"/>
  <c r="BC27" i="8"/>
  <c r="D15" i="22"/>
  <c r="E15" i="22" s="1"/>
  <c r="T13" i="20"/>
  <c r="D19" i="27" l="1"/>
  <c r="E53" i="25"/>
  <c r="B18" i="27"/>
  <c r="E52" i="28"/>
  <c r="F19" i="27"/>
  <c r="F52" i="26"/>
  <c r="E18" i="27"/>
  <c r="E51" i="22"/>
  <c r="D18" i="27"/>
  <c r="E52" i="25"/>
  <c r="B20" i="27"/>
  <c r="C20" i="27" s="1"/>
  <c r="E54" i="28"/>
  <c r="B18" i="22"/>
  <c r="D18" i="22" s="1"/>
  <c r="E18" i="22" s="1"/>
  <c r="Q64" i="19"/>
  <c r="B19" i="27"/>
  <c r="C19" i="27" s="1"/>
  <c r="G19" i="27"/>
  <c r="E24" i="19"/>
  <c r="Q24" i="19" s="1"/>
  <c r="F18" i="26"/>
  <c r="E17" i="22"/>
  <c r="E17" i="25"/>
  <c r="R17" i="20"/>
  <c r="B18" i="28"/>
  <c r="D18" i="28" s="1"/>
  <c r="B18" i="25"/>
  <c r="D18" i="25" s="1"/>
  <c r="B19" i="20"/>
  <c r="K19" i="20" s="1"/>
  <c r="P19" i="20" s="1"/>
  <c r="B19" i="26"/>
  <c r="D19" i="26" s="1"/>
  <c r="E19" i="26" s="1"/>
  <c r="H18" i="20"/>
  <c r="M18" i="20" s="1"/>
  <c r="J18" i="20"/>
  <c r="O18" i="20" s="1"/>
  <c r="I18" i="20"/>
  <c r="N18" i="20" s="1"/>
  <c r="K18" i="20"/>
  <c r="P18" i="20" s="1"/>
  <c r="G15" i="27"/>
  <c r="BX26" i="12"/>
  <c r="BU27" i="12"/>
  <c r="B29" i="12"/>
  <c r="BG28" i="12"/>
  <c r="BV27" i="12"/>
  <c r="BS26" i="12"/>
  <c r="BY26" i="12"/>
  <c r="T23" i="16"/>
  <c r="V23" i="16" s="1"/>
  <c r="W23" i="16" s="1"/>
  <c r="W61" i="16" s="1"/>
  <c r="C29" i="12"/>
  <c r="BH28" i="12"/>
  <c r="BR25" i="12"/>
  <c r="P22" i="16"/>
  <c r="Q22" i="16" s="1"/>
  <c r="R22" i="16" s="1"/>
  <c r="R60" i="16" s="1"/>
  <c r="BB28" i="8"/>
  <c r="J20" i="7"/>
  <c r="J59" i="7" s="1"/>
  <c r="T20" i="7"/>
  <c r="U20" i="7" s="1"/>
  <c r="U59" i="7" s="1"/>
  <c r="BR24" i="8"/>
  <c r="M24" i="8"/>
  <c r="BL24" i="8" s="1"/>
  <c r="BD27" i="8"/>
  <c r="BC28" i="8"/>
  <c r="BK23" i="8"/>
  <c r="E20" i="16"/>
  <c r="F20" i="16" s="1"/>
  <c r="G20" i="16" s="1"/>
  <c r="G58" i="16" s="1"/>
  <c r="E16" i="26"/>
  <c r="F16" i="26" s="1"/>
  <c r="BH24" i="8"/>
  <c r="I21" i="16"/>
  <c r="K21" i="16" s="1"/>
  <c r="L21" i="16" s="1"/>
  <c r="L59" i="16" s="1"/>
  <c r="O16" i="20"/>
  <c r="S25" i="8"/>
  <c r="BO25" i="8"/>
  <c r="J25" i="8"/>
  <c r="BI25" i="8" s="1"/>
  <c r="R25" i="8"/>
  <c r="BN25" i="8"/>
  <c r="I25" i="8"/>
  <c r="G21" i="7"/>
  <c r="H21" i="7" s="1"/>
  <c r="I21" i="7" s="1"/>
  <c r="BF25" i="8"/>
  <c r="D21" i="17"/>
  <c r="E21" i="17" s="1"/>
  <c r="E57" i="17" s="1"/>
  <c r="R11" i="27"/>
  <c r="BQ24" i="8"/>
  <c r="L24" i="8"/>
  <c r="P16" i="20"/>
  <c r="M16" i="20"/>
  <c r="X19" i="16"/>
  <c r="Y19" i="16" s="1"/>
  <c r="Y57" i="16" s="1"/>
  <c r="Q25" i="8"/>
  <c r="BM25" i="8"/>
  <c r="H25" i="8"/>
  <c r="BG25" i="8" s="1"/>
  <c r="Q16" i="20"/>
  <c r="B25" i="19"/>
  <c r="D25" i="19" s="1"/>
  <c r="G26" i="8"/>
  <c r="N26" i="8"/>
  <c r="BE26" i="8"/>
  <c r="F22" i="7"/>
  <c r="P26" i="8"/>
  <c r="O26" i="8"/>
  <c r="BP24" i="8"/>
  <c r="K24" i="8"/>
  <c r="BJ24" i="8" s="1"/>
  <c r="N16" i="20"/>
  <c r="F20" i="27" l="1"/>
  <c r="F53" i="26"/>
  <c r="F18" i="27"/>
  <c r="F51" i="26"/>
  <c r="D20" i="27"/>
  <c r="E54" i="25"/>
  <c r="E20" i="27"/>
  <c r="G20" i="27" s="1"/>
  <c r="E53" i="22"/>
  <c r="E21" i="27"/>
  <c r="E54" i="22"/>
  <c r="B20" i="26"/>
  <c r="D20" i="26" s="1"/>
  <c r="E20" i="26" s="1"/>
  <c r="F20" i="26" s="1"/>
  <c r="Q65" i="19"/>
  <c r="E25" i="19"/>
  <c r="Q25" i="19" s="1"/>
  <c r="F19" i="26"/>
  <c r="S17" i="20"/>
  <c r="E18" i="25"/>
  <c r="E18" i="28"/>
  <c r="E55" i="28" s="1"/>
  <c r="H19" i="20"/>
  <c r="M19" i="20" s="1"/>
  <c r="I19" i="20"/>
  <c r="N19" i="20" s="1"/>
  <c r="J19" i="20"/>
  <c r="O19" i="20" s="1"/>
  <c r="B19" i="25"/>
  <c r="D19" i="25" s="1"/>
  <c r="E19" i="25" s="1"/>
  <c r="L19" i="20"/>
  <c r="Q19" i="20" s="1"/>
  <c r="T19" i="20" s="1"/>
  <c r="R18" i="20"/>
  <c r="B20" i="20"/>
  <c r="H20" i="20" s="1"/>
  <c r="M20" i="20" s="1"/>
  <c r="B19" i="28"/>
  <c r="D19" i="28" s="1"/>
  <c r="B19" i="22"/>
  <c r="D19" i="22" s="1"/>
  <c r="E19" i="22" s="1"/>
  <c r="C18" i="27"/>
  <c r="BV28" i="12"/>
  <c r="B30" i="12"/>
  <c r="BG29" i="12"/>
  <c r="C30" i="12"/>
  <c r="BH29" i="12"/>
  <c r="BU28" i="12"/>
  <c r="BR26" i="12"/>
  <c r="P23" i="16"/>
  <c r="Q23" i="16" s="1"/>
  <c r="R23" i="16" s="1"/>
  <c r="R61" i="16" s="1"/>
  <c r="T24" i="16"/>
  <c r="V24" i="16" s="1"/>
  <c r="W24" i="16" s="1"/>
  <c r="W62" i="16" s="1"/>
  <c r="BS27" i="12"/>
  <c r="BY27" i="12"/>
  <c r="BX27" i="12"/>
  <c r="BB29" i="8"/>
  <c r="BR25" i="8"/>
  <c r="M25" i="8"/>
  <c r="BL25" i="8" s="1"/>
  <c r="BC29" i="8"/>
  <c r="Q26" i="8"/>
  <c r="BM26" i="8"/>
  <c r="H26" i="8"/>
  <c r="BG26" i="8" s="1"/>
  <c r="S26" i="8"/>
  <c r="BO26" i="8"/>
  <c r="J26" i="8"/>
  <c r="BI26" i="8" s="1"/>
  <c r="BP25" i="8"/>
  <c r="K25" i="8"/>
  <c r="BJ25" i="8" s="1"/>
  <c r="R16" i="20"/>
  <c r="S16" i="20" s="1"/>
  <c r="S55" i="20" s="1"/>
  <c r="B26" i="19"/>
  <c r="D26" i="19" s="1"/>
  <c r="BQ25" i="8"/>
  <c r="L25" i="8"/>
  <c r="U13" i="20"/>
  <c r="BD28" i="8"/>
  <c r="T16" i="20"/>
  <c r="BH25" i="8"/>
  <c r="I22" i="16"/>
  <c r="K22" i="16" s="1"/>
  <c r="L22" i="16" s="1"/>
  <c r="L60" i="16" s="1"/>
  <c r="X20" i="16"/>
  <c r="Y20" i="16" s="1"/>
  <c r="Y58" i="16" s="1"/>
  <c r="J21" i="7"/>
  <c r="J60" i="7" s="1"/>
  <c r="T21" i="7"/>
  <c r="U21" i="7" s="1"/>
  <c r="U60" i="7" s="1"/>
  <c r="R26" i="8"/>
  <c r="BN26" i="8"/>
  <c r="I26" i="8"/>
  <c r="BF26" i="8"/>
  <c r="G22" i="7"/>
  <c r="H22" i="7" s="1"/>
  <c r="I22" i="7" s="1"/>
  <c r="D22" i="17"/>
  <c r="E22" i="17" s="1"/>
  <c r="E58" i="17" s="1"/>
  <c r="BK24" i="8"/>
  <c r="E21" i="16"/>
  <c r="F21" i="16" s="1"/>
  <c r="G21" i="16" s="1"/>
  <c r="G59" i="16" s="1"/>
  <c r="G27" i="8"/>
  <c r="N27" i="8"/>
  <c r="BE27" i="8"/>
  <c r="F23" i="7"/>
  <c r="O27" i="8"/>
  <c r="P27" i="8"/>
  <c r="U17" i="20" l="1"/>
  <c r="U56" i="20" s="1"/>
  <c r="S56" i="20"/>
  <c r="E22" i="27"/>
  <c r="E55" i="22"/>
  <c r="F21" i="27"/>
  <c r="F54" i="26"/>
  <c r="F22" i="27"/>
  <c r="F55" i="26"/>
  <c r="D22" i="27"/>
  <c r="E56" i="25"/>
  <c r="N15" i="27"/>
  <c r="O15" i="27" s="1"/>
  <c r="U52" i="20"/>
  <c r="D21" i="27"/>
  <c r="G21" i="27" s="1"/>
  <c r="E55" i="25"/>
  <c r="B20" i="22"/>
  <c r="D20" i="22" s="1"/>
  <c r="E20" i="22" s="1"/>
  <c r="Q66" i="19"/>
  <c r="N19" i="27"/>
  <c r="O19" i="27" s="1"/>
  <c r="R19" i="27" s="1"/>
  <c r="B21" i="27"/>
  <c r="C21" i="27" s="1"/>
  <c r="E26" i="19"/>
  <c r="S18" i="20"/>
  <c r="E19" i="28"/>
  <c r="E56" i="28" s="1"/>
  <c r="R19" i="20"/>
  <c r="L20" i="20"/>
  <c r="Q20" i="20" s="1"/>
  <c r="T20" i="20" s="1"/>
  <c r="J20" i="20"/>
  <c r="O20" i="20" s="1"/>
  <c r="K20" i="20"/>
  <c r="P20" i="20" s="1"/>
  <c r="I20" i="20"/>
  <c r="N20" i="20" s="1"/>
  <c r="B20" i="25"/>
  <c r="D20" i="25" s="1"/>
  <c r="B21" i="20"/>
  <c r="K21" i="20" s="1"/>
  <c r="P21" i="20" s="1"/>
  <c r="B21" i="26"/>
  <c r="D21" i="26" s="1"/>
  <c r="E21" i="26" s="1"/>
  <c r="B20" i="28"/>
  <c r="D20" i="28" s="1"/>
  <c r="E20" i="28" s="1"/>
  <c r="Q26" i="19"/>
  <c r="G18" i="27"/>
  <c r="BV29" i="12"/>
  <c r="B31" i="12"/>
  <c r="BG30" i="12"/>
  <c r="P24" i="16"/>
  <c r="Q24" i="16" s="1"/>
  <c r="R24" i="16" s="1"/>
  <c r="R62" i="16" s="1"/>
  <c r="BR27" i="12"/>
  <c r="T25" i="16"/>
  <c r="V25" i="16" s="1"/>
  <c r="W25" i="16" s="1"/>
  <c r="W63" i="16" s="1"/>
  <c r="C31" i="12"/>
  <c r="BH30" i="12"/>
  <c r="BS28" i="12"/>
  <c r="BY28" i="12"/>
  <c r="BX28" i="12"/>
  <c r="BU29" i="12"/>
  <c r="BB30" i="8"/>
  <c r="X21" i="16"/>
  <c r="Y21" i="16" s="1"/>
  <c r="Y59" i="16" s="1"/>
  <c r="BQ26" i="8"/>
  <c r="L26" i="8"/>
  <c r="BP26" i="8"/>
  <c r="K26" i="8"/>
  <c r="BJ26" i="8" s="1"/>
  <c r="R27" i="8"/>
  <c r="BN27" i="8"/>
  <c r="I27" i="8"/>
  <c r="BH26" i="8"/>
  <c r="I23" i="16"/>
  <c r="K23" i="16" s="1"/>
  <c r="L23" i="16" s="1"/>
  <c r="L61" i="16" s="1"/>
  <c r="S27" i="8"/>
  <c r="BO27" i="8"/>
  <c r="J27" i="8"/>
  <c r="BI27" i="8" s="1"/>
  <c r="Q27" i="8"/>
  <c r="BM27" i="8"/>
  <c r="H27" i="8"/>
  <c r="BG27" i="8" s="1"/>
  <c r="BF27" i="8"/>
  <c r="G23" i="7"/>
  <c r="H23" i="7" s="1"/>
  <c r="I23" i="7" s="1"/>
  <c r="D23" i="17"/>
  <c r="E23" i="17" s="1"/>
  <c r="E59" i="17" s="1"/>
  <c r="B27" i="19"/>
  <c r="D27" i="19" s="1"/>
  <c r="BR26" i="8"/>
  <c r="M26" i="8"/>
  <c r="BL26" i="8" s="1"/>
  <c r="BD29" i="8"/>
  <c r="J22" i="7"/>
  <c r="J61" i="7" s="1"/>
  <c r="T22" i="7"/>
  <c r="U22" i="7" s="1"/>
  <c r="U61" i="7" s="1"/>
  <c r="G28" i="8"/>
  <c r="N28" i="8"/>
  <c r="BE28" i="8"/>
  <c r="F24" i="7"/>
  <c r="P28" i="8"/>
  <c r="O28" i="8"/>
  <c r="BK25" i="8"/>
  <c r="E22" i="16"/>
  <c r="F22" i="16" s="1"/>
  <c r="G22" i="16" s="1"/>
  <c r="G60" i="16" s="1"/>
  <c r="BC30" i="8"/>
  <c r="B23" i="27" l="1"/>
  <c r="E57" i="28"/>
  <c r="E23" i="27"/>
  <c r="E56" i="22"/>
  <c r="U18" i="20"/>
  <c r="U57" i="20" s="1"/>
  <c r="S57" i="20"/>
  <c r="B22" i="26"/>
  <c r="D22" i="26" s="1"/>
  <c r="E22" i="26" s="1"/>
  <c r="F22" i="26" s="1"/>
  <c r="Q67" i="19"/>
  <c r="B22" i="27"/>
  <c r="C22" i="27" s="1"/>
  <c r="E27" i="19"/>
  <c r="S19" i="20"/>
  <c r="F21" i="26"/>
  <c r="E20" i="25"/>
  <c r="B21" i="25"/>
  <c r="D21" i="25" s="1"/>
  <c r="B21" i="22"/>
  <c r="D21" i="22" s="1"/>
  <c r="B21" i="28"/>
  <c r="D21" i="28" s="1"/>
  <c r="B22" i="20"/>
  <c r="L22" i="20" s="1"/>
  <c r="Q22" i="20" s="1"/>
  <c r="T22" i="20" s="1"/>
  <c r="L21" i="20"/>
  <c r="Q21" i="20" s="1"/>
  <c r="T21" i="20" s="1"/>
  <c r="J21" i="20"/>
  <c r="O21" i="20" s="1"/>
  <c r="H21" i="20"/>
  <c r="M21" i="20" s="1"/>
  <c r="I21" i="20"/>
  <c r="N21" i="20" s="1"/>
  <c r="Q27" i="19"/>
  <c r="C23" i="27"/>
  <c r="G22" i="27"/>
  <c r="BX29" i="12"/>
  <c r="P25" i="16"/>
  <c r="Q25" i="16" s="1"/>
  <c r="R25" i="16" s="1"/>
  <c r="R63" i="16" s="1"/>
  <c r="BR28" i="12"/>
  <c r="BU30" i="12"/>
  <c r="B32" i="12"/>
  <c r="BG31" i="12"/>
  <c r="T26" i="16"/>
  <c r="V26" i="16" s="1"/>
  <c r="W26" i="16" s="1"/>
  <c r="W64" i="16" s="1"/>
  <c r="C32" i="12"/>
  <c r="BH31" i="12"/>
  <c r="BV30" i="12"/>
  <c r="BS29" i="12"/>
  <c r="BY29" i="12"/>
  <c r="R20" i="20"/>
  <c r="BB31" i="8"/>
  <c r="BC31" i="8"/>
  <c r="R28" i="8"/>
  <c r="BN28" i="8"/>
  <c r="I28" i="8"/>
  <c r="Q28" i="8"/>
  <c r="BM28" i="8"/>
  <c r="H28" i="8"/>
  <c r="BG28" i="8" s="1"/>
  <c r="BD30" i="8"/>
  <c r="S28" i="8"/>
  <c r="BO28" i="8"/>
  <c r="J28" i="8"/>
  <c r="BI28" i="8" s="1"/>
  <c r="BF28" i="8"/>
  <c r="G24" i="7"/>
  <c r="H24" i="7" s="1"/>
  <c r="I24" i="7" s="1"/>
  <c r="D24" i="17"/>
  <c r="E24" i="17" s="1"/>
  <c r="E60" i="17" s="1"/>
  <c r="B28" i="19"/>
  <c r="D28" i="19" s="1"/>
  <c r="BP27" i="8"/>
  <c r="K27" i="8"/>
  <c r="BJ27" i="8" s="1"/>
  <c r="BK26" i="8"/>
  <c r="E23" i="16"/>
  <c r="F23" i="16" s="1"/>
  <c r="G23" i="16" s="1"/>
  <c r="G61" i="16" s="1"/>
  <c r="U16" i="20"/>
  <c r="X22" i="16"/>
  <c r="Y22" i="16" s="1"/>
  <c r="Y60" i="16" s="1"/>
  <c r="G29" i="8"/>
  <c r="N29" i="8"/>
  <c r="BE29" i="8"/>
  <c r="F25" i="7"/>
  <c r="P29" i="8"/>
  <c r="O29" i="8"/>
  <c r="BH27" i="8"/>
  <c r="I24" i="16"/>
  <c r="K24" i="16" s="1"/>
  <c r="L24" i="16" s="1"/>
  <c r="L62" i="16" s="1"/>
  <c r="J23" i="7"/>
  <c r="J62" i="7" s="1"/>
  <c r="T23" i="7"/>
  <c r="U23" i="7" s="1"/>
  <c r="U62" i="7" s="1"/>
  <c r="BR27" i="8"/>
  <c r="M27" i="8"/>
  <c r="BL27" i="8" s="1"/>
  <c r="L27" i="8"/>
  <c r="BQ27" i="8"/>
  <c r="N20" i="27" l="1"/>
  <c r="O20" i="27" s="1"/>
  <c r="R20" i="27" s="1"/>
  <c r="D23" i="27"/>
  <c r="E57" i="25"/>
  <c r="U19" i="20"/>
  <c r="U58" i="20" s="1"/>
  <c r="S58" i="20"/>
  <c r="N18" i="27"/>
  <c r="U55" i="20"/>
  <c r="F24" i="27"/>
  <c r="F57" i="26"/>
  <c r="F23" i="27"/>
  <c r="F56" i="26"/>
  <c r="B23" i="26"/>
  <c r="D23" i="26" s="1"/>
  <c r="E23" i="26" s="1"/>
  <c r="F23" i="26" s="1"/>
  <c r="Q68" i="19"/>
  <c r="G23" i="27"/>
  <c r="E28" i="19"/>
  <c r="Q28" i="19"/>
  <c r="E21" i="22"/>
  <c r="E21" i="25"/>
  <c r="S20" i="20"/>
  <c r="E21" i="28"/>
  <c r="E58" i="28" s="1"/>
  <c r="J22" i="20"/>
  <c r="O22" i="20" s="1"/>
  <c r="K22" i="20"/>
  <c r="P22" i="20" s="1"/>
  <c r="H22" i="20"/>
  <c r="M22" i="20" s="1"/>
  <c r="R21" i="20"/>
  <c r="I22" i="20"/>
  <c r="N22" i="20" s="1"/>
  <c r="B23" i="20"/>
  <c r="H23" i="20" s="1"/>
  <c r="M23" i="20" s="1"/>
  <c r="B22" i="22"/>
  <c r="D22" i="22" s="1"/>
  <c r="B22" i="28"/>
  <c r="D22" i="28" s="1"/>
  <c r="B22" i="25"/>
  <c r="D22" i="25" s="1"/>
  <c r="O18" i="27"/>
  <c r="BR29" i="12"/>
  <c r="P26" i="16"/>
  <c r="Q26" i="16" s="1"/>
  <c r="R26" i="16" s="1"/>
  <c r="R64" i="16" s="1"/>
  <c r="C33" i="12"/>
  <c r="BH32" i="12"/>
  <c r="BU31" i="12"/>
  <c r="BX30" i="12"/>
  <c r="T27" i="16"/>
  <c r="V27" i="16" s="1"/>
  <c r="W27" i="16" s="1"/>
  <c r="W65" i="16" s="1"/>
  <c r="BS30" i="12"/>
  <c r="BY30" i="12"/>
  <c r="B33" i="12"/>
  <c r="BG32" i="12"/>
  <c r="BV31" i="12"/>
  <c r="BB32" i="8"/>
  <c r="R15" i="27"/>
  <c r="BF29" i="8"/>
  <c r="G25" i="7"/>
  <c r="H25" i="7" s="1"/>
  <c r="I25" i="7" s="1"/>
  <c r="D25" i="17"/>
  <c r="E25" i="17" s="1"/>
  <c r="E61" i="17" s="1"/>
  <c r="BK27" i="8"/>
  <c r="E24" i="16"/>
  <c r="F24" i="16" s="1"/>
  <c r="G24" i="16" s="1"/>
  <c r="G62" i="16" s="1"/>
  <c r="R29" i="8"/>
  <c r="BN29" i="8"/>
  <c r="I29" i="8"/>
  <c r="Q29" i="8"/>
  <c r="BM29" i="8"/>
  <c r="H29" i="8"/>
  <c r="BG29" i="8" s="1"/>
  <c r="X23" i="16"/>
  <c r="Y23" i="16" s="1"/>
  <c r="Y61" i="16" s="1"/>
  <c r="BC32" i="8"/>
  <c r="BR28" i="8"/>
  <c r="M28" i="8"/>
  <c r="BL28" i="8" s="1"/>
  <c r="B29" i="19"/>
  <c r="D29" i="19" s="1"/>
  <c r="BP28" i="8"/>
  <c r="K28" i="8"/>
  <c r="BJ28" i="8" s="1"/>
  <c r="BD31" i="8"/>
  <c r="S29" i="8"/>
  <c r="BO29" i="8"/>
  <c r="J29" i="8"/>
  <c r="BI29" i="8" s="1"/>
  <c r="J24" i="7"/>
  <c r="J63" i="7" s="1"/>
  <c r="T24" i="7"/>
  <c r="U24" i="7" s="1"/>
  <c r="U63" i="7" s="1"/>
  <c r="BQ28" i="8"/>
  <c r="L28" i="8"/>
  <c r="G30" i="8"/>
  <c r="N30" i="8"/>
  <c r="BE30" i="8"/>
  <c r="F26" i="7"/>
  <c r="P30" i="8"/>
  <c r="O30" i="8"/>
  <c r="BH28" i="8"/>
  <c r="I25" i="16"/>
  <c r="K25" i="16" s="1"/>
  <c r="L25" i="16" s="1"/>
  <c r="L63" i="16" s="1"/>
  <c r="F25" i="27" l="1"/>
  <c r="F58" i="26"/>
  <c r="D24" i="27"/>
  <c r="E58" i="25"/>
  <c r="U20" i="20"/>
  <c r="U59" i="20" s="1"/>
  <c r="S59" i="20"/>
  <c r="E24" i="27"/>
  <c r="E57" i="22"/>
  <c r="N21" i="27"/>
  <c r="O21" i="27" s="1"/>
  <c r="R21" i="27" s="1"/>
  <c r="B24" i="26"/>
  <c r="D24" i="26" s="1"/>
  <c r="E24" i="26" s="1"/>
  <c r="F24" i="26" s="1"/>
  <c r="Q69" i="19"/>
  <c r="N22" i="27"/>
  <c r="O22" i="27" s="1"/>
  <c r="R22" i="27" s="1"/>
  <c r="B24" i="27"/>
  <c r="C24" i="27" s="1"/>
  <c r="E29" i="19"/>
  <c r="Q29" i="19"/>
  <c r="E22" i="25"/>
  <c r="S21" i="20"/>
  <c r="E22" i="22"/>
  <c r="E22" i="28"/>
  <c r="E59" i="28" s="1"/>
  <c r="K23" i="20"/>
  <c r="P23" i="20" s="1"/>
  <c r="R22" i="20"/>
  <c r="I23" i="20"/>
  <c r="N23" i="20" s="1"/>
  <c r="J23" i="20"/>
  <c r="O23" i="20" s="1"/>
  <c r="B23" i="28"/>
  <c r="D23" i="28" s="1"/>
  <c r="L23" i="20"/>
  <c r="Q23" i="20" s="1"/>
  <c r="T23" i="20" s="1"/>
  <c r="B23" i="22"/>
  <c r="D23" i="22" s="1"/>
  <c r="B23" i="25"/>
  <c r="D23" i="25" s="1"/>
  <c r="B24" i="20"/>
  <c r="H24" i="20" s="1"/>
  <c r="M24" i="20" s="1"/>
  <c r="BU32" i="12"/>
  <c r="T28" i="16"/>
  <c r="V28" i="16" s="1"/>
  <c r="W28" i="16" s="1"/>
  <c r="W66" i="16" s="1"/>
  <c r="BX31" i="12"/>
  <c r="C34" i="12"/>
  <c r="BH33" i="12"/>
  <c r="BS31" i="12"/>
  <c r="BY31" i="12"/>
  <c r="B34" i="12"/>
  <c r="BG33" i="12"/>
  <c r="P27" i="16"/>
  <c r="Q27" i="16" s="1"/>
  <c r="R27" i="16" s="1"/>
  <c r="R65" i="16" s="1"/>
  <c r="BR30" i="12"/>
  <c r="BV32" i="12"/>
  <c r="BB33" i="8"/>
  <c r="S30" i="8"/>
  <c r="J30" i="8"/>
  <c r="BI30" i="8" s="1"/>
  <c r="BO30" i="8"/>
  <c r="BR29" i="8"/>
  <c r="M29" i="8"/>
  <c r="BL29" i="8" s="1"/>
  <c r="G31" i="8"/>
  <c r="N31" i="8"/>
  <c r="BE31" i="8"/>
  <c r="F27" i="7"/>
  <c r="P31" i="8"/>
  <c r="O31" i="8"/>
  <c r="BK28" i="8"/>
  <c r="E25" i="16"/>
  <c r="F25" i="16" s="1"/>
  <c r="G25" i="16" s="1"/>
  <c r="G63" i="16" s="1"/>
  <c r="R30" i="8"/>
  <c r="BN30" i="8"/>
  <c r="I30" i="8"/>
  <c r="Q30" i="8"/>
  <c r="BM30" i="8"/>
  <c r="H30" i="8"/>
  <c r="BG30" i="8" s="1"/>
  <c r="BD32" i="8"/>
  <c r="B30" i="19"/>
  <c r="D30" i="19" s="1"/>
  <c r="BF30" i="8"/>
  <c r="G26" i="7"/>
  <c r="H26" i="7" s="1"/>
  <c r="I26" i="7" s="1"/>
  <c r="D26" i="17"/>
  <c r="E26" i="17" s="1"/>
  <c r="E62" i="17" s="1"/>
  <c r="BP29" i="8"/>
  <c r="K29" i="8"/>
  <c r="BJ29" i="8" s="1"/>
  <c r="X24" i="16"/>
  <c r="Y24" i="16" s="1"/>
  <c r="Y62" i="16" s="1"/>
  <c r="BC33" i="8"/>
  <c r="BQ29" i="8"/>
  <c r="L29" i="8"/>
  <c r="BH29" i="8"/>
  <c r="I26" i="16"/>
  <c r="K26" i="16" s="1"/>
  <c r="L26" i="16" s="1"/>
  <c r="L64" i="16" s="1"/>
  <c r="J25" i="7"/>
  <c r="J64" i="7" s="1"/>
  <c r="T25" i="7"/>
  <c r="U25" i="7" s="1"/>
  <c r="U64" i="7" s="1"/>
  <c r="G24" i="27" l="1"/>
  <c r="D25" i="27"/>
  <c r="G25" i="27" s="1"/>
  <c r="E59" i="25"/>
  <c r="E25" i="27"/>
  <c r="E58" i="22"/>
  <c r="U21" i="20"/>
  <c r="U60" i="20" s="1"/>
  <c r="S60" i="20"/>
  <c r="F26" i="27"/>
  <c r="F59" i="26"/>
  <c r="B24" i="28"/>
  <c r="D24" i="28" s="1"/>
  <c r="E24" i="28" s="1"/>
  <c r="Q70" i="19"/>
  <c r="B25" i="27"/>
  <c r="C25" i="27" s="1"/>
  <c r="E30" i="19"/>
  <c r="Q30" i="19" s="1"/>
  <c r="L24" i="20"/>
  <c r="Q24" i="20" s="1"/>
  <c r="T24" i="20" s="1"/>
  <c r="E23" i="22"/>
  <c r="E23" i="25"/>
  <c r="S22" i="20"/>
  <c r="E23" i="28"/>
  <c r="E60" i="28" s="1"/>
  <c r="I24" i="20"/>
  <c r="N24" i="20" s="1"/>
  <c r="R23" i="20"/>
  <c r="B24" i="25"/>
  <c r="D24" i="25" s="1"/>
  <c r="J24" i="20"/>
  <c r="O24" i="20" s="1"/>
  <c r="K24" i="20"/>
  <c r="P24" i="20" s="1"/>
  <c r="B24" i="22"/>
  <c r="D24" i="22" s="1"/>
  <c r="B25" i="20"/>
  <c r="I25" i="20" s="1"/>
  <c r="N25" i="20" s="1"/>
  <c r="B25" i="26"/>
  <c r="D25" i="26" s="1"/>
  <c r="E25" i="26" s="1"/>
  <c r="C35" i="12"/>
  <c r="BH34" i="12"/>
  <c r="BS32" i="12"/>
  <c r="BY32" i="12"/>
  <c r="BV33" i="12"/>
  <c r="BX32" i="12"/>
  <c r="B35" i="12"/>
  <c r="BG34" i="12"/>
  <c r="BU33" i="12"/>
  <c r="BR31" i="12"/>
  <c r="P28" i="16"/>
  <c r="Q28" i="16" s="1"/>
  <c r="R28" i="16" s="1"/>
  <c r="R66" i="16" s="1"/>
  <c r="T29" i="16"/>
  <c r="V29" i="16" s="1"/>
  <c r="W29" i="16" s="1"/>
  <c r="W67" i="16" s="1"/>
  <c r="BB34" i="8"/>
  <c r="BD33" i="8"/>
  <c r="J26" i="7"/>
  <c r="J65" i="7" s="1"/>
  <c r="T26" i="7"/>
  <c r="U26" i="7" s="1"/>
  <c r="U65" i="7" s="1"/>
  <c r="BQ30" i="8"/>
  <c r="L30" i="8"/>
  <c r="R31" i="8"/>
  <c r="BN31" i="8"/>
  <c r="I31" i="8"/>
  <c r="Q31" i="8"/>
  <c r="BM31" i="8"/>
  <c r="H31" i="8"/>
  <c r="BG31" i="8" s="1"/>
  <c r="R18" i="27"/>
  <c r="B31" i="19"/>
  <c r="D31" i="19" s="1"/>
  <c r="BP30" i="8"/>
  <c r="K30" i="8"/>
  <c r="BJ30" i="8" s="1"/>
  <c r="S31" i="8"/>
  <c r="BO31" i="8"/>
  <c r="J31" i="8"/>
  <c r="BI31" i="8" s="1"/>
  <c r="BF31" i="8"/>
  <c r="G27" i="7"/>
  <c r="H27" i="7" s="1"/>
  <c r="I27" i="7" s="1"/>
  <c r="D27" i="17"/>
  <c r="E27" i="17" s="1"/>
  <c r="E63" i="17" s="1"/>
  <c r="G32" i="8"/>
  <c r="N32" i="8"/>
  <c r="BE32" i="8"/>
  <c r="F28" i="7"/>
  <c r="O32" i="8"/>
  <c r="P32" i="8"/>
  <c r="BK29" i="8"/>
  <c r="E26" i="16"/>
  <c r="F26" i="16" s="1"/>
  <c r="G26" i="16" s="1"/>
  <c r="G64" i="16" s="1"/>
  <c r="BC34" i="8"/>
  <c r="I27" i="16"/>
  <c r="K27" i="16" s="1"/>
  <c r="L27" i="16" s="1"/>
  <c r="L65" i="16" s="1"/>
  <c r="BH30" i="8"/>
  <c r="X25" i="16"/>
  <c r="Y25" i="16" s="1"/>
  <c r="Y63" i="16" s="1"/>
  <c r="BR30" i="8"/>
  <c r="M30" i="8"/>
  <c r="BL30" i="8" s="1"/>
  <c r="N23" i="27" l="1"/>
  <c r="O23" i="27" s="1"/>
  <c r="R23" i="27" s="1"/>
  <c r="U22" i="20"/>
  <c r="U61" i="20" s="1"/>
  <c r="S61" i="20"/>
  <c r="E26" i="27"/>
  <c r="E59" i="22"/>
  <c r="D26" i="27"/>
  <c r="E60" i="25"/>
  <c r="B27" i="27"/>
  <c r="C27" i="27" s="1"/>
  <c r="E61" i="28"/>
  <c r="B26" i="20"/>
  <c r="Q71" i="19"/>
  <c r="B26" i="27"/>
  <c r="C26" i="27" s="1"/>
  <c r="E31" i="19"/>
  <c r="Q31" i="19"/>
  <c r="F25" i="26"/>
  <c r="E24" i="25"/>
  <c r="E24" i="22"/>
  <c r="S23" i="20"/>
  <c r="K25" i="20"/>
  <c r="P25" i="20" s="1"/>
  <c r="R24" i="20"/>
  <c r="B26" i="26"/>
  <c r="D26" i="26" s="1"/>
  <c r="E26" i="26" s="1"/>
  <c r="B25" i="22"/>
  <c r="D25" i="22" s="1"/>
  <c r="H25" i="20"/>
  <c r="M25" i="20" s="1"/>
  <c r="L25" i="20"/>
  <c r="Q25" i="20" s="1"/>
  <c r="T25" i="20" s="1"/>
  <c r="B25" i="28"/>
  <c r="D25" i="28" s="1"/>
  <c r="B25" i="25"/>
  <c r="D25" i="25" s="1"/>
  <c r="J25" i="20"/>
  <c r="O25" i="20" s="1"/>
  <c r="BS33" i="12"/>
  <c r="BY33" i="12"/>
  <c r="C36" i="12"/>
  <c r="BH35" i="12"/>
  <c r="B36" i="12"/>
  <c r="BG35" i="12"/>
  <c r="BU34" i="12"/>
  <c r="BX33" i="12"/>
  <c r="BV34" i="12"/>
  <c r="T30" i="16"/>
  <c r="V30" i="16" s="1"/>
  <c r="W30" i="16" s="1"/>
  <c r="W68" i="16" s="1"/>
  <c r="P29" i="16"/>
  <c r="Q29" i="16" s="1"/>
  <c r="R29" i="16" s="1"/>
  <c r="R67" i="16" s="1"/>
  <c r="BR32" i="12"/>
  <c r="BB35" i="8"/>
  <c r="S32" i="8"/>
  <c r="BO32" i="8"/>
  <c r="J32" i="8"/>
  <c r="BI32" i="8" s="1"/>
  <c r="Q32" i="8"/>
  <c r="BM32" i="8"/>
  <c r="H32" i="8"/>
  <c r="BG32" i="8" s="1"/>
  <c r="H26" i="20"/>
  <c r="M26" i="20" s="1"/>
  <c r="K26" i="20"/>
  <c r="P26" i="20" s="1"/>
  <c r="L26" i="20"/>
  <c r="Q26" i="20" s="1"/>
  <c r="T26" i="20" s="1"/>
  <c r="J26" i="20"/>
  <c r="O26" i="20" s="1"/>
  <c r="I26" i="20"/>
  <c r="N26" i="20" s="1"/>
  <c r="BC35" i="8"/>
  <c r="J27" i="7"/>
  <c r="J66" i="7" s="1"/>
  <c r="T27" i="7"/>
  <c r="U27" i="7" s="1"/>
  <c r="U66" i="7" s="1"/>
  <c r="BR31" i="8"/>
  <c r="M31" i="8"/>
  <c r="BL31" i="8" s="1"/>
  <c r="BQ31" i="8"/>
  <c r="L31" i="8"/>
  <c r="BP31" i="8"/>
  <c r="K31" i="8"/>
  <c r="BJ31" i="8" s="1"/>
  <c r="BD34" i="8"/>
  <c r="R32" i="8"/>
  <c r="BN32" i="8"/>
  <c r="I32" i="8"/>
  <c r="BF32" i="8"/>
  <c r="G28" i="7"/>
  <c r="H28" i="7" s="1"/>
  <c r="I28" i="7" s="1"/>
  <c r="D28" i="17"/>
  <c r="E28" i="17" s="1"/>
  <c r="E64" i="17" s="1"/>
  <c r="BH31" i="8"/>
  <c r="I28" i="16"/>
  <c r="K28" i="16" s="1"/>
  <c r="L28" i="16" s="1"/>
  <c r="L66" i="16" s="1"/>
  <c r="BK30" i="8"/>
  <c r="E27" i="16"/>
  <c r="F27" i="16" s="1"/>
  <c r="G27" i="16" s="1"/>
  <c r="G65" i="16" s="1"/>
  <c r="G33" i="8"/>
  <c r="N33" i="8"/>
  <c r="BE33" i="8"/>
  <c r="F29" i="7"/>
  <c r="O33" i="8"/>
  <c r="P33" i="8"/>
  <c r="B32" i="19"/>
  <c r="D32" i="19" s="1"/>
  <c r="X26" i="16"/>
  <c r="Y26" i="16" s="1"/>
  <c r="Y64" i="16" s="1"/>
  <c r="G26" i="27" l="1"/>
  <c r="N24" i="27"/>
  <c r="O24" i="27" s="1"/>
  <c r="R24" i="27" s="1"/>
  <c r="F27" i="27"/>
  <c r="F60" i="26"/>
  <c r="U23" i="20"/>
  <c r="U62" i="20" s="1"/>
  <c r="S62" i="20"/>
  <c r="E27" i="27"/>
  <c r="E60" i="22"/>
  <c r="D27" i="27"/>
  <c r="E61" i="25"/>
  <c r="B26" i="22"/>
  <c r="D26" i="22" s="1"/>
  <c r="E26" i="22" s="1"/>
  <c r="Q72" i="19"/>
  <c r="N25" i="27"/>
  <c r="O25" i="27" s="1"/>
  <c r="R25" i="27" s="1"/>
  <c r="E32" i="19"/>
  <c r="F26" i="26"/>
  <c r="S24" i="20"/>
  <c r="E25" i="25"/>
  <c r="E25" i="22"/>
  <c r="E25" i="28"/>
  <c r="E62" i="28" s="1"/>
  <c r="B26" i="28"/>
  <c r="D26" i="28" s="1"/>
  <c r="R25" i="20"/>
  <c r="B26" i="25"/>
  <c r="D26" i="25" s="1"/>
  <c r="B27" i="20"/>
  <c r="H27" i="20" s="1"/>
  <c r="M27" i="20" s="1"/>
  <c r="B27" i="26"/>
  <c r="D27" i="26" s="1"/>
  <c r="E27" i="26" s="1"/>
  <c r="Q32" i="19"/>
  <c r="BX34" i="12"/>
  <c r="BV35" i="12"/>
  <c r="BS34" i="12"/>
  <c r="BY34" i="12"/>
  <c r="B37" i="12"/>
  <c r="BG36" i="12"/>
  <c r="C37" i="12"/>
  <c r="BH36" i="12"/>
  <c r="BR33" i="12"/>
  <c r="P30" i="16"/>
  <c r="Q30" i="16" s="1"/>
  <c r="R30" i="16" s="1"/>
  <c r="R68" i="16" s="1"/>
  <c r="T31" i="16"/>
  <c r="V31" i="16" s="1"/>
  <c r="W31" i="16" s="1"/>
  <c r="W69" i="16" s="1"/>
  <c r="BU35" i="12"/>
  <c r="BB36" i="8"/>
  <c r="R33" i="8"/>
  <c r="BN33" i="8"/>
  <c r="I33" i="8"/>
  <c r="BF33" i="8"/>
  <c r="G29" i="7"/>
  <c r="H29" i="7" s="1"/>
  <c r="I29" i="7" s="1"/>
  <c r="D29" i="17"/>
  <c r="E29" i="17" s="1"/>
  <c r="E65" i="17" s="1"/>
  <c r="BH32" i="8"/>
  <c r="I29" i="16"/>
  <c r="K29" i="16" s="1"/>
  <c r="L29" i="16" s="1"/>
  <c r="L67" i="16" s="1"/>
  <c r="G34" i="8"/>
  <c r="N34" i="8"/>
  <c r="BE34" i="8"/>
  <c r="F30" i="7"/>
  <c r="P34" i="8"/>
  <c r="O34" i="8"/>
  <c r="S33" i="8"/>
  <c r="BO33" i="8"/>
  <c r="J33" i="8"/>
  <c r="BI33" i="8" s="1"/>
  <c r="Q33" i="8"/>
  <c r="BM33" i="8"/>
  <c r="H33" i="8"/>
  <c r="BG33" i="8" s="1"/>
  <c r="B33" i="19"/>
  <c r="D33" i="19" s="1"/>
  <c r="BK31" i="8"/>
  <c r="E28" i="16"/>
  <c r="F28" i="16" s="1"/>
  <c r="G28" i="16" s="1"/>
  <c r="G66" i="16" s="1"/>
  <c r="BP32" i="8"/>
  <c r="K32" i="8"/>
  <c r="BJ32" i="8" s="1"/>
  <c r="X27" i="16"/>
  <c r="Y27" i="16" s="1"/>
  <c r="Y65" i="16" s="1"/>
  <c r="BD35" i="8"/>
  <c r="J28" i="7"/>
  <c r="J67" i="7" s="1"/>
  <c r="T28" i="7"/>
  <c r="U28" i="7" s="1"/>
  <c r="U67" i="7" s="1"/>
  <c r="BQ32" i="8"/>
  <c r="L32" i="8"/>
  <c r="BC36" i="8"/>
  <c r="R26" i="20"/>
  <c r="BR32" i="8"/>
  <c r="M32" i="8"/>
  <c r="BL32" i="8" s="1"/>
  <c r="G27" i="27" l="1"/>
  <c r="D28" i="27"/>
  <c r="E62" i="25"/>
  <c r="U24" i="20"/>
  <c r="U63" i="20" s="1"/>
  <c r="S63" i="20"/>
  <c r="F28" i="27"/>
  <c r="F61" i="26"/>
  <c r="E28" i="27"/>
  <c r="E61" i="22"/>
  <c r="E29" i="27"/>
  <c r="E62" i="22"/>
  <c r="B27" i="22"/>
  <c r="D27" i="22" s="1"/>
  <c r="E27" i="22" s="1"/>
  <c r="Q73" i="19"/>
  <c r="B28" i="27"/>
  <c r="C28" i="27" s="1"/>
  <c r="E33" i="19"/>
  <c r="Q33" i="19" s="1"/>
  <c r="S26" i="20"/>
  <c r="S25" i="20"/>
  <c r="E26" i="25"/>
  <c r="F27" i="26"/>
  <c r="E26" i="28"/>
  <c r="E63" i="28" s="1"/>
  <c r="L27" i="20"/>
  <c r="Q27" i="20" s="1"/>
  <c r="T27" i="20" s="1"/>
  <c r="I27" i="20"/>
  <c r="N27" i="20" s="1"/>
  <c r="B28" i="26"/>
  <c r="D28" i="26" s="1"/>
  <c r="E28" i="26" s="1"/>
  <c r="K27" i="20"/>
  <c r="P27" i="20" s="1"/>
  <c r="J27" i="20"/>
  <c r="O27" i="20" s="1"/>
  <c r="B27" i="28"/>
  <c r="D27" i="28" s="1"/>
  <c r="B27" i="25"/>
  <c r="D27" i="25" s="1"/>
  <c r="B28" i="20"/>
  <c r="K28" i="20" s="1"/>
  <c r="P28" i="20" s="1"/>
  <c r="B38" i="12"/>
  <c r="BG37" i="12"/>
  <c r="BS35" i="12"/>
  <c r="BY35" i="12"/>
  <c r="BU36" i="12"/>
  <c r="BR34" i="12"/>
  <c r="P31" i="16"/>
  <c r="Q31" i="16" s="1"/>
  <c r="R31" i="16" s="1"/>
  <c r="R69" i="16" s="1"/>
  <c r="T32" i="16"/>
  <c r="V32" i="16" s="1"/>
  <c r="W32" i="16" s="1"/>
  <c r="W70" i="16" s="1"/>
  <c r="BV36" i="12"/>
  <c r="BX35" i="12"/>
  <c r="C38" i="12"/>
  <c r="BH37" i="12"/>
  <c r="BB37" i="8"/>
  <c r="I30" i="16"/>
  <c r="K30" i="16" s="1"/>
  <c r="L30" i="16" s="1"/>
  <c r="L68" i="16" s="1"/>
  <c r="BH33" i="8"/>
  <c r="BD36" i="8"/>
  <c r="BC37" i="8"/>
  <c r="BP33" i="8"/>
  <c r="K33" i="8"/>
  <c r="BJ33" i="8" s="1"/>
  <c r="B34" i="19"/>
  <c r="D34" i="19" s="1"/>
  <c r="X28" i="16"/>
  <c r="Y28" i="16" s="1"/>
  <c r="Y66" i="16" s="1"/>
  <c r="R34" i="8"/>
  <c r="BN34" i="8"/>
  <c r="I34" i="8"/>
  <c r="Q34" i="8"/>
  <c r="BM34" i="8"/>
  <c r="H34" i="8"/>
  <c r="BG34" i="8" s="1"/>
  <c r="G35" i="8"/>
  <c r="N35" i="8"/>
  <c r="BE35" i="8"/>
  <c r="F31" i="7"/>
  <c r="P35" i="8"/>
  <c r="O35" i="8"/>
  <c r="BK32" i="8"/>
  <c r="E29" i="16"/>
  <c r="F29" i="16" s="1"/>
  <c r="G29" i="16" s="1"/>
  <c r="G67" i="16" s="1"/>
  <c r="BR33" i="8"/>
  <c r="M33" i="8"/>
  <c r="BL33" i="8" s="1"/>
  <c r="S34" i="8"/>
  <c r="BO34" i="8"/>
  <c r="J34" i="8"/>
  <c r="BI34" i="8" s="1"/>
  <c r="BF34" i="8"/>
  <c r="G30" i="7"/>
  <c r="H30" i="7" s="1"/>
  <c r="I30" i="7" s="1"/>
  <c r="D30" i="17"/>
  <c r="E30" i="17" s="1"/>
  <c r="E66" i="17" s="1"/>
  <c r="J29" i="7"/>
  <c r="J68" i="7" s="1"/>
  <c r="T29" i="7"/>
  <c r="U29" i="7" s="1"/>
  <c r="U68" i="7" s="1"/>
  <c r="BQ33" i="8"/>
  <c r="L33" i="8"/>
  <c r="G28" i="27" l="1"/>
  <c r="N26" i="27"/>
  <c r="O26" i="27" s="1"/>
  <c r="R26" i="27" s="1"/>
  <c r="F29" i="27"/>
  <c r="G29" i="27" s="1"/>
  <c r="F62" i="26"/>
  <c r="D29" i="27"/>
  <c r="E63" i="25"/>
  <c r="E30" i="27"/>
  <c r="E63" i="22"/>
  <c r="U25" i="20"/>
  <c r="U64" i="20" s="1"/>
  <c r="S64" i="20"/>
  <c r="U26" i="20"/>
  <c r="U65" i="20" s="1"/>
  <c r="S65" i="20"/>
  <c r="B28" i="22"/>
  <c r="D28" i="22" s="1"/>
  <c r="E28" i="22" s="1"/>
  <c r="Q74" i="19"/>
  <c r="B29" i="27"/>
  <c r="C29" i="27" s="1"/>
  <c r="N28" i="27"/>
  <c r="O28" i="27" s="1"/>
  <c r="R28" i="27" s="1"/>
  <c r="E34" i="19"/>
  <c r="Q34" i="19" s="1"/>
  <c r="E27" i="25"/>
  <c r="F28" i="26"/>
  <c r="E27" i="28"/>
  <c r="E64" i="28" s="1"/>
  <c r="R27" i="20"/>
  <c r="J28" i="20"/>
  <c r="O28" i="20" s="1"/>
  <c r="L28" i="20"/>
  <c r="Q28" i="20" s="1"/>
  <c r="T28" i="20" s="1"/>
  <c r="H28" i="20"/>
  <c r="M28" i="20" s="1"/>
  <c r="I28" i="20"/>
  <c r="N28" i="20" s="1"/>
  <c r="B28" i="25"/>
  <c r="D28" i="25" s="1"/>
  <c r="B29" i="20"/>
  <c r="H29" i="20" s="1"/>
  <c r="M29" i="20" s="1"/>
  <c r="B28" i="28"/>
  <c r="D28" i="28" s="1"/>
  <c r="B29" i="26"/>
  <c r="D29" i="26" s="1"/>
  <c r="E29" i="26" s="1"/>
  <c r="BV37" i="12"/>
  <c r="BU37" i="12"/>
  <c r="BR35" i="12"/>
  <c r="P32" i="16"/>
  <c r="Q32" i="16" s="1"/>
  <c r="R32" i="16" s="1"/>
  <c r="R70" i="16" s="1"/>
  <c r="BS36" i="12"/>
  <c r="BY36" i="12"/>
  <c r="T33" i="16"/>
  <c r="V33" i="16" s="1"/>
  <c r="W33" i="16" s="1"/>
  <c r="W71" i="16" s="1"/>
  <c r="BH38" i="12"/>
  <c r="BX36" i="12"/>
  <c r="BG38" i="12"/>
  <c r="BB38" i="8"/>
  <c r="BK33" i="8"/>
  <c r="E30" i="16"/>
  <c r="F30" i="16" s="1"/>
  <c r="G30" i="16" s="1"/>
  <c r="G68" i="16" s="1"/>
  <c r="BF35" i="8"/>
  <c r="G31" i="7"/>
  <c r="H31" i="7" s="1"/>
  <c r="I31" i="7" s="1"/>
  <c r="D31" i="17"/>
  <c r="E31" i="17" s="1"/>
  <c r="E67" i="17" s="1"/>
  <c r="B35" i="19"/>
  <c r="D35" i="19" s="1"/>
  <c r="R35" i="8"/>
  <c r="BN35" i="8"/>
  <c r="I35" i="8"/>
  <c r="Q35" i="8"/>
  <c r="BM35" i="8"/>
  <c r="H35" i="8"/>
  <c r="BG35" i="8" s="1"/>
  <c r="BP34" i="8"/>
  <c r="K34" i="8"/>
  <c r="BJ34" i="8" s="1"/>
  <c r="BC38" i="8"/>
  <c r="G36" i="8"/>
  <c r="N36" i="8"/>
  <c r="BE36" i="8"/>
  <c r="F32" i="7"/>
  <c r="O36" i="8"/>
  <c r="P36" i="8"/>
  <c r="S35" i="8"/>
  <c r="BO35" i="8"/>
  <c r="J35" i="8"/>
  <c r="BI35" i="8" s="1"/>
  <c r="I31" i="16"/>
  <c r="K31" i="16" s="1"/>
  <c r="L31" i="16" s="1"/>
  <c r="L69" i="16" s="1"/>
  <c r="BH34" i="8"/>
  <c r="BR34" i="8"/>
  <c r="M34" i="8"/>
  <c r="BL34" i="8" s="1"/>
  <c r="X29" i="16"/>
  <c r="Y29" i="16" s="1"/>
  <c r="Y67" i="16" s="1"/>
  <c r="J30" i="7"/>
  <c r="J69" i="7" s="1"/>
  <c r="T30" i="7"/>
  <c r="U30" i="7" s="1"/>
  <c r="U69" i="7" s="1"/>
  <c r="BQ34" i="8"/>
  <c r="L34" i="8"/>
  <c r="BD37" i="8"/>
  <c r="D30" i="27" l="1"/>
  <c r="E64" i="25"/>
  <c r="F30" i="27"/>
  <c r="F63" i="26"/>
  <c r="E31" i="27"/>
  <c r="E64" i="22"/>
  <c r="N27" i="27"/>
  <c r="O27" i="27" s="1"/>
  <c r="R27" i="27" s="1"/>
  <c r="B29" i="22"/>
  <c r="D29" i="22" s="1"/>
  <c r="E29" i="22" s="1"/>
  <c r="Q75" i="19"/>
  <c r="B30" i="27"/>
  <c r="C30" i="27" s="1"/>
  <c r="G30" i="27"/>
  <c r="E35" i="19"/>
  <c r="Q35" i="19" s="1"/>
  <c r="E28" i="25"/>
  <c r="F29" i="26"/>
  <c r="S27" i="20"/>
  <c r="E28" i="28"/>
  <c r="E65" i="28" s="1"/>
  <c r="B29" i="25"/>
  <c r="D29" i="25" s="1"/>
  <c r="L29" i="20"/>
  <c r="Q29" i="20" s="1"/>
  <c r="T29" i="20" s="1"/>
  <c r="J29" i="20"/>
  <c r="O29" i="20" s="1"/>
  <c r="R28" i="20"/>
  <c r="B30" i="20"/>
  <c r="K30" i="20" s="1"/>
  <c r="P30" i="20" s="1"/>
  <c r="B29" i="28"/>
  <c r="D29" i="28" s="1"/>
  <c r="B30" i="26"/>
  <c r="D30" i="26" s="1"/>
  <c r="E30" i="26" s="1"/>
  <c r="K29" i="20"/>
  <c r="P29" i="20" s="1"/>
  <c r="I29" i="20"/>
  <c r="N29" i="20" s="1"/>
  <c r="BX37" i="12"/>
  <c r="BU38" i="12"/>
  <c r="T34" i="16"/>
  <c r="V34" i="16" s="1"/>
  <c r="W34" i="16" s="1"/>
  <c r="W72" i="16" s="1"/>
  <c r="BV38" i="12"/>
  <c r="BR36" i="12"/>
  <c r="P33" i="16"/>
  <c r="Q33" i="16" s="1"/>
  <c r="R33" i="16" s="1"/>
  <c r="R71" i="16" s="1"/>
  <c r="BS37" i="12"/>
  <c r="BY37" i="12"/>
  <c r="B36" i="19"/>
  <c r="D36" i="19" s="1"/>
  <c r="BK34" i="8"/>
  <c r="E31" i="16"/>
  <c r="F31" i="16" s="1"/>
  <c r="G31" i="16" s="1"/>
  <c r="G69" i="16" s="1"/>
  <c r="BQ35" i="8"/>
  <c r="L35" i="8"/>
  <c r="J31" i="7"/>
  <c r="J70" i="7" s="1"/>
  <c r="T31" i="7"/>
  <c r="U31" i="7" s="1"/>
  <c r="U70" i="7" s="1"/>
  <c r="G37" i="8"/>
  <c r="N37" i="8"/>
  <c r="F33" i="7"/>
  <c r="BE37" i="8"/>
  <c r="O37" i="8"/>
  <c r="P37" i="8"/>
  <c r="S36" i="8"/>
  <c r="BO36" i="8"/>
  <c r="J36" i="8"/>
  <c r="BI36" i="8" s="1"/>
  <c r="Q36" i="8"/>
  <c r="BM36" i="8"/>
  <c r="H36" i="8"/>
  <c r="BG36" i="8" s="1"/>
  <c r="BH35" i="8"/>
  <c r="I32" i="16"/>
  <c r="K32" i="16" s="1"/>
  <c r="L32" i="16" s="1"/>
  <c r="L70" i="16" s="1"/>
  <c r="X30" i="16"/>
  <c r="Y30" i="16" s="1"/>
  <c r="Y68" i="16" s="1"/>
  <c r="BR35" i="8"/>
  <c r="M35" i="8"/>
  <c r="BL35" i="8" s="1"/>
  <c r="BD38" i="8"/>
  <c r="BP35" i="8"/>
  <c r="K35" i="8"/>
  <c r="BJ35" i="8" s="1"/>
  <c r="R36" i="8"/>
  <c r="BN36" i="8"/>
  <c r="I36" i="8"/>
  <c r="BF36" i="8"/>
  <c r="G32" i="7"/>
  <c r="H32" i="7" s="1"/>
  <c r="I32" i="7" s="1"/>
  <c r="D32" i="17"/>
  <c r="E32" i="17" s="1"/>
  <c r="E68" i="17" s="1"/>
  <c r="E32" i="27" l="1"/>
  <c r="E65" i="22"/>
  <c r="U27" i="20"/>
  <c r="U66" i="20" s="1"/>
  <c r="S66" i="20"/>
  <c r="F31" i="27"/>
  <c r="F64" i="26"/>
  <c r="D31" i="27"/>
  <c r="G31" i="27" s="1"/>
  <c r="E65" i="25"/>
  <c r="B30" i="28"/>
  <c r="D30" i="28" s="1"/>
  <c r="E30" i="28" s="1"/>
  <c r="E67" i="28" s="1"/>
  <c r="Q76" i="19"/>
  <c r="B31" i="27"/>
  <c r="C31" i="27" s="1"/>
  <c r="E36" i="19"/>
  <c r="Q36" i="19" s="1"/>
  <c r="S28" i="20"/>
  <c r="F30" i="26"/>
  <c r="E29" i="25"/>
  <c r="E29" i="28"/>
  <c r="E66" i="28" s="1"/>
  <c r="H30" i="20"/>
  <c r="M30" i="20" s="1"/>
  <c r="B30" i="25"/>
  <c r="D30" i="25" s="1"/>
  <c r="B30" i="22"/>
  <c r="D30" i="22" s="1"/>
  <c r="B31" i="20"/>
  <c r="J31" i="20" s="1"/>
  <c r="O31" i="20" s="1"/>
  <c r="I30" i="20"/>
  <c r="N30" i="20" s="1"/>
  <c r="J30" i="20"/>
  <c r="O30" i="20" s="1"/>
  <c r="L30" i="20"/>
  <c r="Q30" i="20" s="1"/>
  <c r="T30" i="20" s="1"/>
  <c r="B31" i="26"/>
  <c r="D31" i="26" s="1"/>
  <c r="E31" i="26" s="1"/>
  <c r="R29" i="20"/>
  <c r="BS38" i="12"/>
  <c r="BY38" i="12"/>
  <c r="T35" i="16"/>
  <c r="V35" i="16" s="1"/>
  <c r="W35" i="16" s="1"/>
  <c r="W73" i="16" s="1"/>
  <c r="BX38" i="12"/>
  <c r="P34" i="16"/>
  <c r="Q34" i="16" s="1"/>
  <c r="R34" i="16" s="1"/>
  <c r="R72" i="16" s="1"/>
  <c r="BR37" i="12"/>
  <c r="S37" i="8"/>
  <c r="J37" i="8"/>
  <c r="BI37" i="8" s="1"/>
  <c r="BO37" i="8"/>
  <c r="B37" i="19"/>
  <c r="D37" i="19" s="1"/>
  <c r="G38" i="8"/>
  <c r="N38" i="8"/>
  <c r="F34" i="7"/>
  <c r="BE38" i="8"/>
  <c r="O38" i="8"/>
  <c r="P38" i="8"/>
  <c r="I33" i="16"/>
  <c r="K33" i="16" s="1"/>
  <c r="L33" i="16" s="1"/>
  <c r="L71" i="16" s="1"/>
  <c r="BH36" i="8"/>
  <c r="BR36" i="8"/>
  <c r="M36" i="8"/>
  <c r="BL36" i="8" s="1"/>
  <c r="BP36" i="8"/>
  <c r="K36" i="8"/>
  <c r="BJ36" i="8" s="1"/>
  <c r="Q37" i="8"/>
  <c r="H37" i="8"/>
  <c r="BG37" i="8" s="1"/>
  <c r="BM37" i="8"/>
  <c r="BK35" i="8"/>
  <c r="E32" i="16"/>
  <c r="F32" i="16" s="1"/>
  <c r="G32" i="16" s="1"/>
  <c r="G70" i="16" s="1"/>
  <c r="BQ36" i="8"/>
  <c r="L36" i="8"/>
  <c r="R37" i="8"/>
  <c r="I37" i="8"/>
  <c r="BN37" i="8"/>
  <c r="G33" i="7"/>
  <c r="H33" i="7" s="1"/>
  <c r="I33" i="7" s="1"/>
  <c r="BF37" i="8"/>
  <c r="D33" i="17"/>
  <c r="E33" i="17" s="1"/>
  <c r="E69" i="17" s="1"/>
  <c r="J32" i="7"/>
  <c r="J71" i="7" s="1"/>
  <c r="T32" i="7"/>
  <c r="U32" i="7" s="1"/>
  <c r="U71" i="7" s="1"/>
  <c r="X31" i="16"/>
  <c r="Y31" i="16" s="1"/>
  <c r="Y69" i="16" s="1"/>
  <c r="B33" i="27" l="1"/>
  <c r="C33" i="27" s="1"/>
  <c r="D32" i="27"/>
  <c r="E66" i="25"/>
  <c r="U28" i="20"/>
  <c r="U67" i="20" s="1"/>
  <c r="S67" i="20"/>
  <c r="F32" i="27"/>
  <c r="F65" i="26"/>
  <c r="N29" i="27"/>
  <c r="O29" i="27" s="1"/>
  <c r="R29" i="27" s="1"/>
  <c r="B32" i="26"/>
  <c r="D32" i="26" s="1"/>
  <c r="E32" i="26" s="1"/>
  <c r="F32" i="26" s="1"/>
  <c r="Q77" i="19"/>
  <c r="B32" i="27"/>
  <c r="C32" i="27" s="1"/>
  <c r="N30" i="27"/>
  <c r="O30" i="27" s="1"/>
  <c r="R30" i="27" s="1"/>
  <c r="E37" i="19"/>
  <c r="Q37" i="19" s="1"/>
  <c r="E30" i="22"/>
  <c r="S29" i="20"/>
  <c r="F31" i="26"/>
  <c r="E30" i="25"/>
  <c r="H31" i="20"/>
  <c r="M31" i="20" s="1"/>
  <c r="I31" i="20"/>
  <c r="N31" i="20" s="1"/>
  <c r="K31" i="20"/>
  <c r="P31" i="20" s="1"/>
  <c r="L31" i="20"/>
  <c r="Q31" i="20" s="1"/>
  <c r="T31" i="20" s="1"/>
  <c r="B31" i="28"/>
  <c r="D31" i="28" s="1"/>
  <c r="E31" i="28" s="1"/>
  <c r="E68" i="28" s="1"/>
  <c r="B32" i="20"/>
  <c r="J32" i="20" s="1"/>
  <c r="O32" i="20" s="1"/>
  <c r="R30" i="20"/>
  <c r="B31" i="25"/>
  <c r="D31" i="25" s="1"/>
  <c r="B31" i="22"/>
  <c r="D31" i="22" s="1"/>
  <c r="P35" i="16"/>
  <c r="Q35" i="16" s="1"/>
  <c r="R35" i="16" s="1"/>
  <c r="R73" i="16" s="1"/>
  <c r="BR38" i="12"/>
  <c r="BK36" i="8"/>
  <c r="E33" i="16"/>
  <c r="F33" i="16" s="1"/>
  <c r="G33" i="16" s="1"/>
  <c r="G71" i="16" s="1"/>
  <c r="F35" i="7"/>
  <c r="B38" i="19"/>
  <c r="D38" i="19" s="1"/>
  <c r="J33" i="7"/>
  <c r="J72" i="7" s="1"/>
  <c r="T33" i="7"/>
  <c r="U33" i="7" s="1"/>
  <c r="U72" i="7" s="1"/>
  <c r="S38" i="8"/>
  <c r="J38" i="8"/>
  <c r="BI38" i="8" s="1"/>
  <c r="BO38" i="8"/>
  <c r="Q38" i="8"/>
  <c r="H38" i="8"/>
  <c r="BG38" i="8" s="1"/>
  <c r="BM38" i="8"/>
  <c r="I34" i="16"/>
  <c r="K34" i="16" s="1"/>
  <c r="L34" i="16" s="1"/>
  <c r="L72" i="16" s="1"/>
  <c r="BH37" i="8"/>
  <c r="R38" i="8"/>
  <c r="I38" i="8"/>
  <c r="BN38" i="8"/>
  <c r="G34" i="7"/>
  <c r="H34" i="7" s="1"/>
  <c r="I34" i="7" s="1"/>
  <c r="BF38" i="8"/>
  <c r="D34" i="17"/>
  <c r="E34" i="17" s="1"/>
  <c r="E70" i="17" s="1"/>
  <c r="L37" i="8"/>
  <c r="BQ37" i="8"/>
  <c r="X32" i="16"/>
  <c r="Y32" i="16" s="1"/>
  <c r="Y70" i="16" s="1"/>
  <c r="K37" i="8"/>
  <c r="BJ37" i="8" s="1"/>
  <c r="BP37" i="8"/>
  <c r="M37" i="8"/>
  <c r="BL37" i="8" s="1"/>
  <c r="BR37" i="8"/>
  <c r="G32" i="27" l="1"/>
  <c r="F33" i="27"/>
  <c r="F66" i="26"/>
  <c r="U29" i="20"/>
  <c r="U68" i="20" s="1"/>
  <c r="S68" i="20"/>
  <c r="E33" i="27"/>
  <c r="E66" i="22"/>
  <c r="F34" i="27"/>
  <c r="F67" i="26"/>
  <c r="D33" i="27"/>
  <c r="G33" i="27" s="1"/>
  <c r="E67" i="25"/>
  <c r="B32" i="22"/>
  <c r="D32" i="22" s="1"/>
  <c r="E32" i="22" s="1"/>
  <c r="Q78" i="19"/>
  <c r="B34" i="27"/>
  <c r="C34" i="27" s="1"/>
  <c r="E38" i="19"/>
  <c r="Q38" i="19"/>
  <c r="E31" i="25"/>
  <c r="S30" i="20"/>
  <c r="E31" i="22"/>
  <c r="H32" i="20"/>
  <c r="M32" i="20" s="1"/>
  <c r="I32" i="20"/>
  <c r="N32" i="20" s="1"/>
  <c r="K32" i="20"/>
  <c r="P32" i="20" s="1"/>
  <c r="L32" i="20"/>
  <c r="Q32" i="20" s="1"/>
  <c r="T32" i="20" s="1"/>
  <c r="R31" i="20"/>
  <c r="B32" i="25"/>
  <c r="D32" i="25" s="1"/>
  <c r="B33" i="26"/>
  <c r="D33" i="26" s="1"/>
  <c r="E33" i="26" s="1"/>
  <c r="B33" i="20"/>
  <c r="I33" i="20" s="1"/>
  <c r="B32" i="28"/>
  <c r="D32" i="28" s="1"/>
  <c r="T36" i="16"/>
  <c r="J34" i="7"/>
  <c r="J73" i="7" s="1"/>
  <c r="T34" i="7"/>
  <c r="U34" i="7" s="1"/>
  <c r="U73" i="7" s="1"/>
  <c r="E34" i="16"/>
  <c r="F34" i="16" s="1"/>
  <c r="G34" i="16" s="1"/>
  <c r="G72" i="16" s="1"/>
  <c r="BK37" i="8"/>
  <c r="K38" i="8"/>
  <c r="BJ38" i="8" s="1"/>
  <c r="BP38" i="8"/>
  <c r="I35" i="16"/>
  <c r="K35" i="16" s="1"/>
  <c r="L35" i="16" s="1"/>
  <c r="L73" i="16" s="1"/>
  <c r="BH38" i="8"/>
  <c r="X33" i="16"/>
  <c r="Y33" i="16" s="1"/>
  <c r="Y71" i="16" s="1"/>
  <c r="B39" i="19"/>
  <c r="L38" i="8"/>
  <c r="BQ38" i="8"/>
  <c r="M38" i="8"/>
  <c r="BL38" i="8" s="1"/>
  <c r="BR38" i="8"/>
  <c r="E34" i="27" l="1"/>
  <c r="E67" i="22"/>
  <c r="U30" i="20"/>
  <c r="U69" i="20" s="1"/>
  <c r="S69" i="20"/>
  <c r="D34" i="27"/>
  <c r="E68" i="25"/>
  <c r="E35" i="27"/>
  <c r="E68" i="22"/>
  <c r="N31" i="27"/>
  <c r="O31" i="27" s="1"/>
  <c r="R31" i="27" s="1"/>
  <c r="B34" i="20"/>
  <c r="Q79" i="19"/>
  <c r="N32" i="27"/>
  <c r="O32" i="27" s="1"/>
  <c r="R32" i="27" s="1"/>
  <c r="G34" i="27"/>
  <c r="E32" i="25"/>
  <c r="S31" i="20"/>
  <c r="F33" i="26"/>
  <c r="E32" i="28"/>
  <c r="E69" i="28" s="1"/>
  <c r="R32" i="20"/>
  <c r="B33" i="22"/>
  <c r="D33" i="22" s="1"/>
  <c r="J33" i="20"/>
  <c r="O33" i="20" s="1"/>
  <c r="L33" i="20"/>
  <c r="L36" i="20" s="1"/>
  <c r="B34" i="26"/>
  <c r="D34" i="26" s="1"/>
  <c r="E34" i="26" s="1"/>
  <c r="B33" i="25"/>
  <c r="D33" i="25" s="1"/>
  <c r="B33" i="28"/>
  <c r="D33" i="28" s="1"/>
  <c r="H33" i="20"/>
  <c r="M33" i="20" s="1"/>
  <c r="K33" i="20"/>
  <c r="K36" i="20" s="1"/>
  <c r="W36" i="16"/>
  <c r="W74" i="16" s="1"/>
  <c r="V36" i="16"/>
  <c r="P36" i="16"/>
  <c r="G35" i="7"/>
  <c r="E35" i="16"/>
  <c r="F35" i="16" s="1"/>
  <c r="G35" i="16" s="1"/>
  <c r="G73" i="16" s="1"/>
  <c r="BK38" i="8"/>
  <c r="D39" i="19"/>
  <c r="B40" i="19"/>
  <c r="K34" i="20"/>
  <c r="P34" i="20" s="1"/>
  <c r="H34" i="20"/>
  <c r="M34" i="20" s="1"/>
  <c r="J34" i="20"/>
  <c r="O34" i="20" s="1"/>
  <c r="I34" i="20"/>
  <c r="N34" i="20" s="1"/>
  <c r="L34" i="20"/>
  <c r="Q34" i="20" s="1"/>
  <c r="T34" i="20" s="1"/>
  <c r="N33" i="20"/>
  <c r="I36" i="20"/>
  <c r="B35" i="17"/>
  <c r="X34" i="16"/>
  <c r="Y34" i="16" s="1"/>
  <c r="Y72" i="16" s="1"/>
  <c r="U31" i="20" l="1"/>
  <c r="U70" i="20" s="1"/>
  <c r="S70" i="20"/>
  <c r="D35" i="27"/>
  <c r="G35" i="27" s="1"/>
  <c r="E69" i="25"/>
  <c r="F35" i="27"/>
  <c r="F68" i="26"/>
  <c r="B35" i="27"/>
  <c r="C35" i="27" s="1"/>
  <c r="N33" i="27"/>
  <c r="O33" i="27" s="1"/>
  <c r="R33" i="27" s="1"/>
  <c r="E39" i="19"/>
  <c r="F34" i="26"/>
  <c r="S32" i="20"/>
  <c r="E33" i="25"/>
  <c r="E33" i="22"/>
  <c r="E33" i="28"/>
  <c r="E70" i="28" s="1"/>
  <c r="Q33" i="20"/>
  <c r="T33" i="20" s="1"/>
  <c r="J36" i="20"/>
  <c r="H36" i="20"/>
  <c r="P33" i="20"/>
  <c r="R33" i="20" s="1"/>
  <c r="S33" i="20" s="1"/>
  <c r="S72" i="20" s="1"/>
  <c r="R36" i="16"/>
  <c r="R74" i="16" s="1"/>
  <c r="Q36" i="16"/>
  <c r="R34" i="20"/>
  <c r="D35" i="17"/>
  <c r="I36" i="16"/>
  <c r="D40" i="19"/>
  <c r="X35" i="16"/>
  <c r="Y35" i="16" s="1"/>
  <c r="Y73" i="16" s="1"/>
  <c r="H35" i="7"/>
  <c r="E36" i="27" l="1"/>
  <c r="E69" i="22"/>
  <c r="U32" i="20"/>
  <c r="U71" i="20" s="1"/>
  <c r="S71" i="20"/>
  <c r="F36" i="27"/>
  <c r="F69" i="26"/>
  <c r="D36" i="27"/>
  <c r="G36" i="27" s="1"/>
  <c r="E70" i="25"/>
  <c r="B36" i="27"/>
  <c r="C36" i="27" s="1"/>
  <c r="S34" i="20"/>
  <c r="U33" i="20"/>
  <c r="U72" i="20" s="1"/>
  <c r="I40" i="19"/>
  <c r="Q39" i="19"/>
  <c r="Q80" i="19" s="1"/>
  <c r="E40" i="19"/>
  <c r="E36" i="16"/>
  <c r="J35" i="7"/>
  <c r="J74" i="7" s="1"/>
  <c r="I35" i="7"/>
  <c r="L36" i="16"/>
  <c r="L74" i="16" s="1"/>
  <c r="K36" i="16"/>
  <c r="E35" i="17"/>
  <c r="E71" i="17" s="1"/>
  <c r="U34" i="20" l="1"/>
  <c r="U73" i="20" s="1"/>
  <c r="S73" i="20"/>
  <c r="N34" i="27"/>
  <c r="O34" i="27" s="1"/>
  <c r="R34" i="27" s="1"/>
  <c r="N35" i="27"/>
  <c r="O35" i="27" s="1"/>
  <c r="R35" i="27" s="1"/>
  <c r="N36" i="27"/>
  <c r="O36" i="27" s="1"/>
  <c r="R36" i="27" s="1"/>
  <c r="M38" i="27"/>
  <c r="U35" i="7"/>
  <c r="U74" i="7" s="1"/>
  <c r="T35" i="7"/>
  <c r="G36" i="16"/>
  <c r="G74" i="16" s="1"/>
  <c r="F36" i="16"/>
  <c r="B35" i="20"/>
  <c r="B34" i="25"/>
  <c r="B35" i="26"/>
  <c r="B34" i="22"/>
  <c r="B34" i="28"/>
  <c r="Q40" i="19"/>
  <c r="Q81" i="19" s="1"/>
  <c r="D35" i="26" l="1"/>
  <c r="B36" i="26"/>
  <c r="D34" i="25"/>
  <c r="E34" i="25" s="1"/>
  <c r="B35" i="25"/>
  <c r="D34" i="22"/>
  <c r="E34" i="22" s="1"/>
  <c r="B35" i="22"/>
  <c r="Y36" i="16"/>
  <c r="X36" i="16"/>
  <c r="D34" i="28"/>
  <c r="E34" i="28" s="1"/>
  <c r="E71" i="28" s="1"/>
  <c r="B35" i="28"/>
  <c r="K35" i="20"/>
  <c r="P35" i="20" s="1"/>
  <c r="P36" i="20" s="1"/>
  <c r="J35" i="20"/>
  <c r="O35" i="20" s="1"/>
  <c r="O36" i="20" s="1"/>
  <c r="I35" i="20"/>
  <c r="N35" i="20" s="1"/>
  <c r="N36" i="20" s="1"/>
  <c r="L35" i="20"/>
  <c r="Q35" i="20" s="1"/>
  <c r="H35" i="20"/>
  <c r="M35" i="20" s="1"/>
  <c r="B36" i="20"/>
  <c r="I42" i="27" l="1"/>
  <c r="Y74" i="16"/>
  <c r="D37" i="27"/>
  <c r="E71" i="25"/>
  <c r="E37" i="27"/>
  <c r="E70" i="22"/>
  <c r="B37" i="27"/>
  <c r="C37" i="27" s="1"/>
  <c r="R35" i="20"/>
  <c r="S35" i="20" s="1"/>
  <c r="S74" i="20" s="1"/>
  <c r="M36" i="20"/>
  <c r="D35" i="28"/>
  <c r="T35" i="20"/>
  <c r="T36" i="20" s="1"/>
  <c r="Q36" i="20"/>
  <c r="D35" i="22"/>
  <c r="D35" i="25"/>
  <c r="E35" i="26"/>
  <c r="F35" i="26" s="1"/>
  <c r="F70" i="26" s="1"/>
  <c r="D36" i="26"/>
  <c r="F37" i="27" l="1"/>
  <c r="G37" i="27" s="1"/>
  <c r="E38" i="27"/>
  <c r="E35" i="25"/>
  <c r="E72" i="25" s="1"/>
  <c r="E36" i="26"/>
  <c r="R36" i="20"/>
  <c r="E35" i="22"/>
  <c r="E71" i="22" s="1"/>
  <c r="E35" i="28"/>
  <c r="E72" i="28" s="1"/>
  <c r="C38" i="27" l="1"/>
  <c r="B38" i="27"/>
  <c r="U35" i="20"/>
  <c r="U74" i="20" s="1"/>
  <c r="S36" i="20"/>
  <c r="S75" i="20" s="1"/>
  <c r="F36" i="26"/>
  <c r="F71" i="26" s="1"/>
  <c r="D38" i="27"/>
  <c r="N37" i="27" l="1"/>
  <c r="O37" i="27" s="1"/>
  <c r="R37" i="27" s="1"/>
  <c r="F38" i="27"/>
  <c r="B42" i="27" s="1"/>
  <c r="G38" i="27"/>
  <c r="U36" i="20"/>
  <c r="U75" i="20" s="1"/>
  <c r="N38" i="27" l="1"/>
  <c r="R38" i="27" l="1"/>
  <c r="O38" i="27"/>
  <c r="T38" i="27" l="1"/>
  <c r="S40" i="27"/>
  <c r="S39" i="27"/>
</calcChain>
</file>

<file path=xl/comments1.xml><?xml version="1.0" encoding="utf-8"?>
<comments xmlns="http://schemas.openxmlformats.org/spreadsheetml/2006/main">
  <authors>
    <author>Ford, Kylie</author>
  </authors>
  <commentList>
    <comment ref="N2" authorId="0">
      <text>
        <r>
          <rPr>
            <b/>
            <sz val="9"/>
            <color indexed="81"/>
            <rFont val="Tahoma"/>
            <family val="2"/>
          </rPr>
          <t>Ford, Kylie:</t>
        </r>
        <r>
          <rPr>
            <sz val="9"/>
            <color indexed="81"/>
            <rFont val="Tahoma"/>
            <family val="2"/>
          </rPr>
          <t xml:space="preserve">
http://www.ctre.iastate.edu/gasb34/gasb344_long.pdf</t>
        </r>
      </text>
    </comment>
  </commentList>
</comments>
</file>

<file path=xl/sharedStrings.xml><?xml version="1.0" encoding="utf-8"?>
<sst xmlns="http://schemas.openxmlformats.org/spreadsheetml/2006/main" count="2230" uniqueCount="817">
  <si>
    <t>Totals</t>
  </si>
  <si>
    <t>Total</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</si>
  <si>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</si>
  <si>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</si>
  <si>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</si>
  <si>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</si>
  <si>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</si>
  <si>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</si>
  <si>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</si>
  <si>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</si>
  <si>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</si>
  <si>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</si>
  <si>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</si>
  <si>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</si>
  <si>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</si>
  <si>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</si>
  <si>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</si>
  <si>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</si>
  <si>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</si>
  <si>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</si>
  <si>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Adult Population </t>
  </si>
  <si>
    <t>Male:</t>
  </si>
  <si>
    <t>Female:</t>
  </si>
  <si>
    <t>Total:</t>
  </si>
  <si>
    <t xml:space="preserve"> Hispanic or Latino (of any race):</t>
  </si>
  <si>
    <t>Average household size</t>
  </si>
  <si>
    <t>Average family size</t>
  </si>
  <si>
    <t xml:space="preserve"> Occupied housing units</t>
  </si>
  <si>
    <t xml:space="preserve"> Vacant housing units:</t>
  </si>
  <si>
    <t>Adult Population (20 and up)</t>
  </si>
  <si>
    <t>Non-White and Multiple Races</t>
  </si>
  <si>
    <t>Fayette County, Kentucky</t>
  </si>
  <si>
    <t xml:space="preserve">  Car, truck, or van:</t>
  </si>
  <si>
    <t xml:space="preserve">    Drove alone</t>
  </si>
  <si>
    <t xml:space="preserve">    Carpooled:</t>
  </si>
  <si>
    <t xml:space="preserve">      In 2-person carpool</t>
  </si>
  <si>
    <t xml:space="preserve">      In 3-person carpool</t>
  </si>
  <si>
    <t xml:space="preserve">  Public transportation (excluding taxicab):</t>
  </si>
  <si>
    <t xml:space="preserve">  Taxicab</t>
  </si>
  <si>
    <t xml:space="preserve">  Motorcycle</t>
  </si>
  <si>
    <t xml:space="preserve">  Bicycle</t>
  </si>
  <si>
    <t xml:space="preserve">  Walked</t>
  </si>
  <si>
    <t xml:space="preserve">  Worked at home</t>
  </si>
  <si>
    <t>Car, truck, or van -- drove alone</t>
  </si>
  <si>
    <t>Car, truck, or van -- carpooled</t>
  </si>
  <si>
    <t>Public transportation (excluding taxicab)</t>
  </si>
  <si>
    <t>Workers 16 years and over</t>
  </si>
  <si>
    <t/>
  </si>
  <si>
    <t xml:space="preserve">    White</t>
  </si>
  <si>
    <t>Hispanic or Latino origin (of any race)</t>
  </si>
  <si>
    <t>EARNINGS IN THE PAST 12 MONTHS (IN 2010 INFLATION-ADJUSTED DOLLARS) FOR WORKERS</t>
  </si>
  <si>
    <t xml:space="preserve">    Workers 16 years and over with earnings</t>
  </si>
  <si>
    <t xml:space="preserve">  $1 to $9,999 or loss</t>
  </si>
  <si>
    <t xml:space="preserve">  $10,000 to $14,999</t>
  </si>
  <si>
    <t xml:space="preserve">  $15,000 to $24,999</t>
  </si>
  <si>
    <t xml:space="preserve">  $25,000 to $34,999</t>
  </si>
  <si>
    <t xml:space="preserve">  $35,000 to $49,999</t>
  </si>
  <si>
    <t xml:space="preserve">  $50,000 to $64,999</t>
  </si>
  <si>
    <t xml:space="preserve">  $65,000 to $74,999</t>
  </si>
  <si>
    <t xml:space="preserve">  $75,000 or more</t>
  </si>
  <si>
    <t>Median earnings (dollars)</t>
  </si>
  <si>
    <t>POVERTY STATUS IN THE PAST 12 MONTHS</t>
  </si>
  <si>
    <t xml:space="preserve">    Workers 16 years and over for whom poverty status is determined</t>
  </si>
  <si>
    <t xml:space="preserve">  Below 100 percent of the poverty level</t>
  </si>
  <si>
    <t xml:space="preserve">  100 to 149 percent of the poverty level</t>
  </si>
  <si>
    <t xml:space="preserve">  At or above 150 percent of the poverty level</t>
  </si>
  <si>
    <t>OCCUPATION</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</si>
  <si>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</si>
  <si>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</si>
  <si>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</si>
  <si>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</si>
  <si>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</si>
  <si>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 xml:space="preserve">  Military specific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</si>
  <si>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</si>
  <si>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</si>
  <si>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</si>
  <si>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</si>
  <si>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</si>
  <si>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</si>
  <si>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</si>
  <si>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 and finance and insurance, and real estate and rental and leasing</t>
  </si>
  <si>
    <t xml:space="preserve">  Professional, scientific,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</si>
  <si>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</si>
  <si>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</si>
  <si>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</si>
  <si>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</si>
  <si>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 xml:space="preserve">  Armed forces</t>
  </si>
  <si>
    <t>TRAVEL TIME TO WORK</t>
  </si>
  <si>
    <t xml:space="preserve">  Mean travel time to work (minutes)</t>
  </si>
  <si>
    <t>VEHICLES AVAILABLE</t>
  </si>
  <si>
    <t xml:space="preserve">  No vehicle available</t>
  </si>
  <si>
    <t xml:space="preserve">  1 vehicle available</t>
  </si>
  <si>
    <t xml:space="preserve">  2 vehicles available</t>
  </si>
  <si>
    <t xml:space="preserve">  3 or more vehicles available</t>
  </si>
  <si>
    <t>Total Workers, Ages 16 and Over:</t>
  </si>
  <si>
    <t>Non-White</t>
  </si>
  <si>
    <t xml:space="preserve">Total Population </t>
  </si>
  <si>
    <t xml:space="preserve">Percent Commuters </t>
  </si>
  <si>
    <t>Percent Bicycle Commuters</t>
  </si>
  <si>
    <t>Percent Pedestrian Commuters</t>
  </si>
  <si>
    <t>Percent Public Transit Commuters</t>
  </si>
  <si>
    <t>0.25 - 0.5 Mile Zone</t>
  </si>
  <si>
    <t xml:space="preserve">Total Commuters </t>
  </si>
  <si>
    <t>Total Adult Population (20 and up)</t>
  </si>
  <si>
    <t>Total Commuters (16 and up )</t>
  </si>
  <si>
    <t xml:space="preserve">Existing </t>
  </si>
  <si>
    <t xml:space="preserve">Low Existing Daily Bicycle Users (Including Commuters) </t>
  </si>
  <si>
    <t>Mean Existing Daily Bicycle Users (Including Commuters)</t>
  </si>
  <si>
    <t xml:space="preserve">High Existing Daily Bicycle Ysers (Including Commutes) </t>
  </si>
  <si>
    <t>Low Existing Recreational Bicycle Users</t>
  </si>
  <si>
    <t>Mean Existing Recreational Bicycle Users</t>
  </si>
  <si>
    <t>High  Existing Recreational Bicycle Users</t>
  </si>
  <si>
    <t xml:space="preserve">0 - 0.25 Mile Zone </t>
  </si>
  <si>
    <t xml:space="preserve">Summer Months Daily Bicycle Users Total </t>
  </si>
  <si>
    <t>Alternative Method</t>
  </si>
  <si>
    <t>Low New Adult Cyclists</t>
  </si>
  <si>
    <t xml:space="preserve">Mean New Adult Cyclists </t>
  </si>
  <si>
    <t xml:space="preserve">0.5 - 1 Mile Zone </t>
  </si>
  <si>
    <t xml:space="preserve">Existing Pedestrian Commuters (Including those walking to public transit) </t>
  </si>
  <si>
    <t>Low Existing Recreational Pedestrian Users</t>
  </si>
  <si>
    <t>Mean Existing Recreational Pedestrian Users</t>
  </si>
  <si>
    <t xml:space="preserve">High Existing Recreational Pedestrian users </t>
  </si>
  <si>
    <t>Low Existing Pedestrian Users (Including Commuters)</t>
  </si>
  <si>
    <t>Mean Existing Pedestrian Users (Including Commuters)</t>
  </si>
  <si>
    <t>High  Existing Pedestrian Users (Including Commuters)</t>
  </si>
  <si>
    <t xml:space="preserve">Project Total </t>
  </si>
  <si>
    <t>Methodology</t>
  </si>
  <si>
    <t xml:space="preserve">New and Existing Commuter Cyclists </t>
  </si>
  <si>
    <t>Low New and Existing Adult Cyclists</t>
  </si>
  <si>
    <t xml:space="preserve">Mean New and Existing Adult Cyclists </t>
  </si>
  <si>
    <t xml:space="preserve">High New and Existing Adult Cyclists </t>
  </si>
  <si>
    <t xml:space="preserve">New and Existing Pedestrian Commuters </t>
  </si>
  <si>
    <t>Year</t>
  </si>
  <si>
    <t xml:space="preserve">Commuting Days </t>
  </si>
  <si>
    <t xml:space="preserve">Trips Per Day </t>
  </si>
  <si>
    <t xml:space="preserve">Existing Commuters </t>
  </si>
  <si>
    <t xml:space="preserve">Year </t>
  </si>
  <si>
    <t xml:space="preserve">Commuters </t>
  </si>
  <si>
    <t>Existing Bicycle Commuters</t>
  </si>
  <si>
    <t xml:space="preserve">High New Adult Cyclists </t>
  </si>
  <si>
    <t>Annual Growth Rate</t>
  </si>
  <si>
    <t xml:space="preserve">New Bicycle Commuters </t>
  </si>
  <si>
    <t>Mean New Recreational Bicycle Users</t>
  </si>
  <si>
    <t>Low New Recreational Bicycle Users</t>
  </si>
  <si>
    <t>High Recreational Bicycle Users</t>
  </si>
  <si>
    <t xml:space="preserve">0 to 0.25 miles from Project </t>
  </si>
  <si>
    <t xml:space="preserve">0.25 to 0.5 miles from Project </t>
  </si>
  <si>
    <t xml:space="preserve">0.5 to 1 miles from Project </t>
  </si>
  <si>
    <t>Pedestrian Commuters</t>
  </si>
  <si>
    <t>Public Transit Commuters</t>
  </si>
  <si>
    <t>Total Existing Pedestrian Commuters (Including those walking to transit)</t>
  </si>
  <si>
    <t xml:space="preserve">New Pedestrian Commuters (Including those walking to transit) </t>
  </si>
  <si>
    <t>Low New Recreational Pedestrian Users</t>
  </si>
  <si>
    <t>Mean New Recreational Pedestrian Users</t>
  </si>
  <si>
    <t>High New Recreational Pedestrian Users</t>
  </si>
  <si>
    <t>Low New Pedestrian Users (Including Commuters)</t>
  </si>
  <si>
    <t>Mean New Pedestrian Users (Including Commuters)</t>
  </si>
  <si>
    <t>High New Pedestrian Users (Including Commuters)</t>
  </si>
  <si>
    <t>Project Total</t>
  </si>
  <si>
    <t>CPI-U U.S. Annual Average</t>
  </si>
  <si>
    <t>Source: http://www.bls.gov/cpi/cpid1502.pdf</t>
  </si>
  <si>
    <t xml:space="preserve">Annual Mobility Benefit </t>
  </si>
  <si>
    <t xml:space="preserve">Discount Rate </t>
  </si>
  <si>
    <t>Discounted Annual Mobility Benefit (2015$)</t>
  </si>
  <si>
    <t>Value of Time (Per Minute, 2015$)</t>
  </si>
  <si>
    <t xml:space="preserve">Total </t>
  </si>
  <si>
    <t>Cyclists</t>
  </si>
  <si>
    <t xml:space="preserve">Minutes spent traveling to an off street facility </t>
  </si>
  <si>
    <t>Walking Mileage</t>
  </si>
  <si>
    <t xml:space="preserve">Value per Mile </t>
  </si>
  <si>
    <t xml:space="preserve">New Commuters </t>
  </si>
  <si>
    <t xml:space="preserve">Discounted Mobility Benefit </t>
  </si>
  <si>
    <t xml:space="preserve">Pedestrians </t>
  </si>
  <si>
    <t xml:space="preserve">Value of Street Lighting ($2010 British Pound / KM) </t>
  </si>
  <si>
    <t xml:space="preserve">Value of Kerb Level ($2010 British Pound / KM) </t>
  </si>
  <si>
    <t xml:space="preserve">Value of Crowding ($2010 British Pound / KM) </t>
  </si>
  <si>
    <t xml:space="preserve">Value of Pavement Evenness ($2010 British Pound / KM) </t>
  </si>
  <si>
    <t xml:space="preserve">Value of Street Information Panels ($2010 British Pound / KM) </t>
  </si>
  <si>
    <t xml:space="preserve">Value of Street Benches ($2010 British Pound / KM) </t>
  </si>
  <si>
    <t xml:space="preserve">Value of Street Directional Signage ($2010 British Pound / KM) </t>
  </si>
  <si>
    <t>Miles per 1 Kilometer</t>
  </si>
  <si>
    <t>Value of Street Lighting ($2010 US Dollar / Mi)</t>
  </si>
  <si>
    <t>Value of Kerb Level ($2010 US Dollar / Mi)</t>
  </si>
  <si>
    <t>Value of Crowding ($2010 US Dollar / Mi)</t>
  </si>
  <si>
    <t>Value of Pavement Evenness ($2010 US Dollar / Mi)</t>
  </si>
  <si>
    <t>Value of Street Information Panels ($2010 US Dollar / Mi)</t>
  </si>
  <si>
    <t>Value of Street Benches ($2010 US Dollar / Mi)</t>
  </si>
  <si>
    <t>Value of Street Directional Signage ($2010 US Dollar / Mi)</t>
  </si>
  <si>
    <t>Total Benefits</t>
  </si>
  <si>
    <t xml:space="preserve">Numbers of Recreational Trip Days per year </t>
  </si>
  <si>
    <t xml:space="preserve">New Recreational Users </t>
  </si>
  <si>
    <t xml:space="preserve">Annual Benefits </t>
  </si>
  <si>
    <t xml:space="preserve">New </t>
  </si>
  <si>
    <t xml:space="preserve">Existing Recreational Users </t>
  </si>
  <si>
    <t xml:space="preserve">Trip Days per Year </t>
  </si>
  <si>
    <t>Existing</t>
  </si>
  <si>
    <t xml:space="preserve">Trip Days Per Year </t>
  </si>
  <si>
    <t xml:space="preserve">Discounted Annual Benefits </t>
  </si>
  <si>
    <t xml:space="preserve">Value of Pedestrian Improvements </t>
  </si>
  <si>
    <t>Total New Project Commuters</t>
  </si>
  <si>
    <t xml:space="preserve">Reduced VMT </t>
  </si>
  <si>
    <t xml:space="preserve">Total Health Benefits </t>
  </si>
  <si>
    <t>Discounted Health Benefits</t>
  </si>
  <si>
    <t>VOC</t>
  </si>
  <si>
    <t>Nox</t>
  </si>
  <si>
    <t>PM10</t>
  </si>
  <si>
    <t>PM25</t>
  </si>
  <si>
    <t>CO2</t>
  </si>
  <si>
    <t xml:space="preserve">VOC Value of Emissions (2015$) per metric ton </t>
  </si>
  <si>
    <t xml:space="preserve">NOx Value of Emissions (2015$) per metric ton </t>
  </si>
  <si>
    <t xml:space="preserve">PM Value of Emissions (2015$) per metric ton </t>
  </si>
  <si>
    <t xml:space="preserve">SOx Value of Emissions (2015$) per metric ton </t>
  </si>
  <si>
    <t>Emission Costs Saved</t>
  </si>
  <si>
    <t xml:space="preserve">Year          </t>
  </si>
  <si>
    <t xml:space="preserve">Discounted Emissions </t>
  </si>
  <si>
    <t xml:space="preserve">Vehicle Costs per Mile </t>
  </si>
  <si>
    <t>http://www.fhwa.dot.gov/policy/hcas/addendum.htm</t>
  </si>
  <si>
    <t>Congestion Cost per VMT (2000$)</t>
  </si>
  <si>
    <t>Maintenance (Oil, etc) Cost per VMT (2013$)</t>
  </si>
  <si>
    <t>http://www.rita.dot.gov/bts/sites/rita.dot.gov.bts/files/publications/national_transportation_statistics/html/table_03_17.html</t>
  </si>
  <si>
    <t xml:space="preserve">Tires Cost per VMT (2013$) </t>
  </si>
  <si>
    <t xml:space="preserve">Percent of Total Population </t>
  </si>
  <si>
    <t>Percent of Workers</t>
  </si>
  <si>
    <t xml:space="preserve">Percent of Commuters </t>
  </si>
  <si>
    <t xml:space="preserve">Percent of Adult Population </t>
  </si>
  <si>
    <t>Discounted State of Good Repair Benefits</t>
  </si>
  <si>
    <t>Total Annual Congestion Benefits</t>
  </si>
  <si>
    <t>Discounted Congestion Benefits</t>
  </si>
  <si>
    <t xml:space="preserve">Gasoline Consumption Per Mile (gallons) </t>
  </si>
  <si>
    <t xml:space="preserve">Annual Gasoline Consumption (gallons) </t>
  </si>
  <si>
    <t xml:space="preserve">State of Good Repair </t>
  </si>
  <si>
    <t xml:space="preserve">Economic Competitiveness </t>
  </si>
  <si>
    <t xml:space="preserve">Quality of Life </t>
  </si>
  <si>
    <t xml:space="preserve">Environmental Sustainability </t>
  </si>
  <si>
    <t xml:space="preserve">Recreation </t>
  </si>
  <si>
    <t xml:space="preserve">Mobility </t>
  </si>
  <si>
    <t>Congestion Savings</t>
  </si>
  <si>
    <t xml:space="preserve">Total Annual Roadway Maintenance Benefits </t>
  </si>
  <si>
    <t xml:space="preserve">Annual Vehicle Maintenance Benefits </t>
  </si>
  <si>
    <t xml:space="preserve">VOC </t>
  </si>
  <si>
    <t>TOTAL BENEFITS</t>
  </si>
  <si>
    <t xml:space="preserve">Total State of Good Repair </t>
  </si>
  <si>
    <t xml:space="preserve">Total Economic Competitiveness </t>
  </si>
  <si>
    <t xml:space="preserve">Total Quality of Life </t>
  </si>
  <si>
    <t xml:space="preserve">Total Environmental Sustainability </t>
  </si>
  <si>
    <t xml:space="preserve">Total Safety </t>
  </si>
  <si>
    <t xml:space="preserve">Value </t>
  </si>
  <si>
    <t xml:space="preserve">Source </t>
  </si>
  <si>
    <t>Input</t>
  </si>
  <si>
    <t xml:space="preserve">Trips per Day </t>
  </si>
  <si>
    <t xml:space="preserve">Reduced Polluants per Year (tons) </t>
  </si>
  <si>
    <t>Pollutant Emissions Rates per VMT (grams/mile)</t>
  </si>
  <si>
    <t xml:space="preserve">Reduced Fuel Consumption Benefits </t>
  </si>
  <si>
    <t>Discounted Reduced Fuel Consumption Benefits</t>
  </si>
  <si>
    <t>PS&amp;E</t>
  </si>
  <si>
    <t xml:space="preserve">Construction </t>
  </si>
  <si>
    <t>Discounted Total Project Costs</t>
  </si>
  <si>
    <t xml:space="preserve">Trail O&amp;M </t>
  </si>
  <si>
    <t>PDO Accident</t>
  </si>
  <si>
    <t xml:space="preserve">Injury Accidents </t>
  </si>
  <si>
    <t xml:space="preserve">Number of Injuries </t>
  </si>
  <si>
    <t xml:space="preserve">AIS 0 </t>
  </si>
  <si>
    <t>AIS 1</t>
  </si>
  <si>
    <t>AIS 2</t>
  </si>
  <si>
    <t>AIS 3</t>
  </si>
  <si>
    <t>AIS 4</t>
  </si>
  <si>
    <t>AIS 5</t>
  </si>
  <si>
    <t>AIS 6</t>
  </si>
  <si>
    <t>Injuries</t>
  </si>
  <si>
    <t>AIS 1 (2015$)</t>
  </si>
  <si>
    <t>AIS 2(2015$)</t>
  </si>
  <si>
    <t>AIS 3(2015$)</t>
  </si>
  <si>
    <t>AIS 4(2015$)</t>
  </si>
  <si>
    <t>AIS 5(2015$)</t>
  </si>
  <si>
    <t>AIS 6(2015$)</t>
  </si>
  <si>
    <t>PDO</t>
  </si>
  <si>
    <t>No Build Crash Costs</t>
  </si>
  <si>
    <t>Reduced Crash Costs</t>
  </si>
  <si>
    <t>Discounted Crash Costs</t>
  </si>
  <si>
    <t xml:space="preserve">Average </t>
  </si>
  <si>
    <t xml:space="preserve">Value of Crashes </t>
  </si>
  <si>
    <t xml:space="preserve">Fatal Accidents </t>
  </si>
  <si>
    <t xml:space="preserve">Number of Fatalities </t>
  </si>
  <si>
    <t>Kentucky Accident Data</t>
  </si>
  <si>
    <t>High New Recreational Bicycle Users</t>
  </si>
  <si>
    <t>TOTAL COSTS</t>
  </si>
  <si>
    <t>Build Crash Costs</t>
  </si>
  <si>
    <t>Fatalties</t>
  </si>
  <si>
    <t>CPI</t>
  </si>
  <si>
    <t xml:space="preserve">See "CPI" Sheet </t>
  </si>
  <si>
    <t>Social Cost of Carbon</t>
  </si>
  <si>
    <t>BCR</t>
  </si>
  <si>
    <t>Total Reduction in Run-off</t>
  </si>
  <si>
    <t xml:space="preserve">Total Storm Water Benefits </t>
  </si>
  <si>
    <t xml:space="preserve">Discounted Total Storm Water Benefits </t>
  </si>
  <si>
    <t>Electric Bus Fuel Economy KwH per Mile</t>
  </si>
  <si>
    <t>http://www.proterra.com/product-tech/product-specs/</t>
  </si>
  <si>
    <t>http://www.fhwa.dot.gov/policy/hcas/addendum.htm, Adjusted by CPI</t>
  </si>
  <si>
    <t>http://www.rita.dot.gov/bts/sites/rita.dot.gov.bts/files/publications/national_transportation_statistics/html/table_03_17.html, Adjusted by CPI</t>
  </si>
  <si>
    <t xml:space="preserve">Assumed Travel Speed (MPH) </t>
  </si>
  <si>
    <t>Recreation Days per Year</t>
  </si>
  <si>
    <t>Passenger Car Emission Rates per Mile, VOC</t>
  </si>
  <si>
    <t>Passenger Car Emission Rates per Mile, Nox</t>
  </si>
  <si>
    <t>Passenger Car Emission Rates per Mile, CO2</t>
  </si>
  <si>
    <t xml:space="preserve">Passenger Car Gasoline Consumption Per mile </t>
  </si>
  <si>
    <t xml:space="preserve">Bio-swales Run-off Coefficient </t>
  </si>
  <si>
    <t>http://www.nyc.gov/html/om/pdf/bike_lanes_memo.pdf</t>
  </si>
  <si>
    <t xml:space="preserve">Off-Road Bicycle Path Accident Risk as compared to Cycling on Minor Roadways - Low </t>
  </si>
  <si>
    <t xml:space="preserve">Off-Road Bicycle Path Accident Risk as compared to Cycling on Minor Roadways - High </t>
  </si>
  <si>
    <t xml:space="preserve">Off-Road Bicycle Path Accident Risk as compared to Cycling on Minor Roadways - Median </t>
  </si>
  <si>
    <t>http://www.biomedcentral.com/content/pdf/1476-069X-8-47.pdf</t>
  </si>
  <si>
    <t>Calculated from: http://www.biomedcentral.com/content/pdf/1476-069X-8-47.pdf</t>
  </si>
  <si>
    <t xml:space="preserve">Reduction in Crash Costs due to the creation of an off-path facility - Low </t>
  </si>
  <si>
    <t xml:space="preserve">Reduction in Crash Costs due to the creation of an off-path facility - Median </t>
  </si>
  <si>
    <t xml:space="preserve">Reduction in Crash Costs due to the creation of an off-path facility - High </t>
  </si>
  <si>
    <t xml:space="preserve">Lexington Kentucky Average Precipitation (Inches) </t>
  </si>
  <si>
    <t xml:space="preserve">Existing Run-off Coefficient (Asphalt) </t>
  </si>
  <si>
    <t>Build Run-off Coefficient (Bioswales)</t>
  </si>
  <si>
    <t>Surface Area of the project (Sq. Feet)</t>
  </si>
  <si>
    <t>Annual Rain Fall (Feet)</t>
  </si>
  <si>
    <t>FHWA - Asphalt Street - Lowend of Range (0.70 - 0.95): http://www.fhwa.dot.gov/engineering/hydraulics/pubs/08090/appb.cfm</t>
  </si>
  <si>
    <t>http://www.weather.gov/media/lmk/climate/clilex/seasonal_av_temp_total_precip_total_snow_lex.pdf</t>
  </si>
  <si>
    <t xml:space="preserve">Value of Additional Transit Information </t>
  </si>
  <si>
    <t>http://nexus.umn.edu/papers/VOIFT.pdf</t>
  </si>
  <si>
    <t xml:space="preserve">Asphalt Run-off Coefficient </t>
  </si>
  <si>
    <t>Passenger Car  Emission Rates per Mile, PM10</t>
  </si>
  <si>
    <t>Passenger Car Emission Rates per Mile, PM25</t>
  </si>
  <si>
    <t>http://www.epa.gov/otaq/consumer/420f08024.pdf</t>
  </si>
  <si>
    <t xml:space="preserve">State of Kentucky Percent Phyiscally Inactive </t>
  </si>
  <si>
    <t>http://www.virtualadjacency.com/wp-content/uploads/2009/07/33b-crashes-vs-congestion-aaa-report-mart08-exec-sum.pdf</t>
  </si>
  <si>
    <t>https://www.gov.uk/transport-analysis-guidance-webtag#webtag-data-book</t>
  </si>
  <si>
    <t>Calculated From: https://www.gov.uk/transport-analysis-guidance-webtag#webtag-data-book</t>
  </si>
  <si>
    <t>Calculated from: http://www.its.ucdavis.edu/research/publications/publication-detail/?pub_id=19</t>
  </si>
  <si>
    <t xml:space="preserve">Value of Journey Ambiance Benefit of On-road segregated cycle lane  (2010 british pound / minute) </t>
  </si>
  <si>
    <t xml:space="preserve">Value of Journey Ambiance Benefit of Off-road segregated cycle track (2010 british pound / minute) </t>
  </si>
  <si>
    <t xml:space="preserve">Value of Journey Ambiance Benefit of On-road segregated cycle lane  (2010 US$ / minute) </t>
  </si>
  <si>
    <t xml:space="preserve">Value of Journey Ambiance Benefit of Off-road segregated cycle track (2010 US$ / minute) </t>
  </si>
  <si>
    <t xml:space="preserve">Assumed Pedestrian Speed (Recreation) (Miles/Hour) </t>
  </si>
  <si>
    <t>http://staff.washington.edu/kwolf/Archive/Classes/ESRM304_SocSci/304%20Soc%20Sci%20Lab%20Articles/Lindsey_2004.pdf</t>
  </si>
  <si>
    <t>Calculated from: http://staff.washington.edu/kwolf/Archive/Classes/ESRM304_SocSci/304%20Soc%20Sci%20Lab%20Articles/Lindsey_2004.pdf</t>
  </si>
  <si>
    <t xml:space="preserve">Conservative Estimate </t>
  </si>
  <si>
    <t>Conservative Estimate</t>
  </si>
  <si>
    <t>http://onlinepubs.trb.org/onlinepubs/nchrp/nchrp_rpt_552.pdf</t>
  </si>
  <si>
    <t xml:space="preserve">New Cyclist Commuter Health Benefit (Per-Capita Cost Savings from Physical Activity 2005$/Year) </t>
  </si>
  <si>
    <t>Calculated from: http://onlinepubs.trb.org/onlinepubs/nchrp/nchrp_rpt_552.pdf</t>
  </si>
  <si>
    <t xml:space="preserve">Value of Recreation per Trip for Cyclists (2005$/Trip) </t>
  </si>
  <si>
    <t xml:space="preserve">User Information </t>
  </si>
  <si>
    <t xml:space="preserve">Mean Travel Time to Work (Minutes) </t>
  </si>
  <si>
    <t xml:space="preserve">Speed of Commuters (MPH) </t>
  </si>
  <si>
    <t xml:space="preserve">Commuting Trips Per Day </t>
  </si>
  <si>
    <t xml:space="preserve">New Cyclists - Recreation Hours per Day </t>
  </si>
  <si>
    <t xml:space="preserve">New Pedestrian - Recreation Hours per Day </t>
  </si>
  <si>
    <t xml:space="preserve">Cycling Commuters - Minutes spent traveling to an off-street facilitiy </t>
  </si>
  <si>
    <t xml:space="preserve">Value of Travel Time Savings (2015$) </t>
  </si>
  <si>
    <t xml:space="preserve">Pedestrian Commuter Trip Length (Miles) </t>
  </si>
  <si>
    <t>Economic Competitiveness</t>
  </si>
  <si>
    <t>Safety</t>
  </si>
  <si>
    <t>General</t>
  </si>
  <si>
    <t>Alternative - Pavement Cost per VMT (2000$/Mile)</t>
  </si>
  <si>
    <t>Calculated from: http://www.rita.dot.gov/bts/sites/rita.dot.gov.bts/files/publications/national_transportation_statistics/html/table_03_17.html</t>
  </si>
  <si>
    <t xml:space="preserve">Alternative Congestion Cost (2009$/mi) </t>
  </si>
  <si>
    <t xml:space="preserve">Alternative - New Cyclist Commuter Health Benefit (Per-Capita Cost Savings from Physical Activity 2015$/Year) </t>
  </si>
  <si>
    <t>Roadway maintenance Cost per Mile</t>
  </si>
  <si>
    <t>Hours per Trip Day</t>
  </si>
  <si>
    <t xml:space="preserve">Hours per Trip Day </t>
  </si>
  <si>
    <t xml:space="preserve">Alternative - Consumer Surplus (Value of a Recreation Trip) for Residents within 1 Mile of an Urban Trail (2004$/trip) </t>
  </si>
  <si>
    <t xml:space="preserve">Alternative - Typical Recreation Day (Hours) </t>
  </si>
  <si>
    <t>Conversion Multiplier</t>
  </si>
  <si>
    <t>Relationship of Body Mass Index and Physical Activity to Health Care Costs Among Employees - (Lee County Florida BCA)</t>
  </si>
  <si>
    <t xml:space="preserve">Alternative - New Cyclist Commuter Health Benefit (Per-Capita Cost Savings from Physical Activity 2014$/Year) </t>
  </si>
  <si>
    <t>Alternative - Crash Costs per VMT (2000$/mi)</t>
  </si>
  <si>
    <t>Alternative - Pollution Costs per VMT (2000$/mi)</t>
  </si>
  <si>
    <t xml:space="preserve">New Bicycle Commuters (Residents 0-0.25 Miles from the Project), Multiplier of Existing Bicycle Commuters </t>
  </si>
  <si>
    <t xml:space="preserve">New Bicycle Commuters (Residents 0.25-0.5 Miles from the Project), Multiplier of Existing Bicycle Commuters </t>
  </si>
  <si>
    <t xml:space="preserve">New Bicycle Commuters (Residents 0.5-1 Miles from the Project), Multiplier of Existing Bicycle Commuters </t>
  </si>
  <si>
    <t xml:space="preserve">Existing Bicycle Users Multiplier of Adult Population - Low </t>
  </si>
  <si>
    <t>Existing Bicycle Users Multiplier of Adult Population - Mean</t>
  </si>
  <si>
    <t>Existing Bicycle Users Multiplier of Adult Population - High</t>
  </si>
  <si>
    <t xml:space="preserve">Existing Bicycle Users Multiplier of Existing Bicycle Commuters  - Low </t>
  </si>
  <si>
    <t>Existing Bicycle Users Multiplier of Existing Bicycle Commuters  - Mean</t>
  </si>
  <si>
    <t xml:space="preserve">Existing Bicycle Users Multiplier of Existing Bicycle Commuters  - High </t>
  </si>
  <si>
    <t>NCHRP - http://onlinepubs.trb.org/onlinepubs/nchrp/nchrp_rpt_552.pdf</t>
  </si>
  <si>
    <t>Rain Volume (Gallons)</t>
  </si>
  <si>
    <t xml:space="preserve">Residual Value of the Project </t>
  </si>
  <si>
    <t xml:space="preserve">Capital Total </t>
  </si>
  <si>
    <t xml:space="preserve">Discounted Capital Total </t>
  </si>
  <si>
    <t xml:space="preserve">O&amp;M Total </t>
  </si>
  <si>
    <t xml:space="preserve">Discounted O&amp;M Total </t>
  </si>
  <si>
    <t xml:space="preserve">Reduced Vehicles </t>
  </si>
  <si>
    <t xml:space="preserve">Surface Area of Project Becoming Bio-Swales (Sq. Feet) </t>
  </si>
  <si>
    <t>Value of Impervious Conversion ($/Sq. Ft, Annual, 2015$)</t>
  </si>
  <si>
    <t>Conservative Estimate; http://www.fs.fed.us/psw/programs/uesd/uep/products/psw_cufr761_P47ReportLRes_AC.pdf</t>
  </si>
  <si>
    <t xml:space="preserve">Lexington Average Impervious Conversion Value (Annual $/Sq. Feet) (2015$) </t>
  </si>
  <si>
    <t>Lexington-Fayette Urban County Government - WQ Management Fee (SW fee) rate is currently $4.61 / 2500 square feet. This is be applied to private property impervious services converted to pervious.</t>
  </si>
  <si>
    <t xml:space="preserve">Estimated Federal Share </t>
  </si>
  <si>
    <t xml:space="preserve">Discounted Federal Share </t>
  </si>
  <si>
    <t xml:space="preserve">Benefits Per Federal Dollar </t>
  </si>
  <si>
    <t>Stated Electrcity Price ($/KWh)</t>
  </si>
  <si>
    <t xml:space="preserve">Peak Demand Charges ($/KW) </t>
  </si>
  <si>
    <t>Effective Peak Electricity Price ($/Kwh)</t>
  </si>
  <si>
    <t>Roadway Maintenance</t>
  </si>
  <si>
    <t xml:space="preserve">Reduced Vehicle Fuel </t>
  </si>
  <si>
    <t xml:space="preserve">Reduced Vehicle Maintenance </t>
  </si>
  <si>
    <t xml:space="preserve">Reduced Emissions </t>
  </si>
  <si>
    <t xml:space="preserve">New Pedestrian Commuters (Includes those walking to Transit) </t>
  </si>
  <si>
    <t>Average Annual Bus Mileage</t>
  </si>
  <si>
    <t xml:space="preserve">Number of Electric Busses </t>
  </si>
  <si>
    <t>Congestion Marginal Costs per VMT</t>
  </si>
  <si>
    <t xml:space="preserve">New Commuters (Bicycle and Pedestrian) </t>
  </si>
  <si>
    <t>Annual Cost Savings from Physical Activity</t>
  </si>
  <si>
    <t xml:space="preserve">NOx </t>
  </si>
  <si>
    <r>
      <t>PM</t>
    </r>
    <r>
      <rPr>
        <b/>
        <sz val="8"/>
        <color theme="1"/>
        <rFont val="Calibri"/>
        <family val="2"/>
        <scheme val="minor"/>
      </rPr>
      <t>10</t>
    </r>
  </si>
  <si>
    <r>
      <t>PM</t>
    </r>
    <r>
      <rPr>
        <b/>
        <sz val="8"/>
        <color theme="1"/>
        <rFont val="Calibri"/>
        <family val="2"/>
        <scheme val="minor"/>
      </rPr>
      <t>25</t>
    </r>
  </si>
  <si>
    <r>
      <t>CO</t>
    </r>
    <r>
      <rPr>
        <b/>
        <sz val="8"/>
        <color theme="1"/>
        <rFont val="Calibri"/>
        <family val="2"/>
        <scheme val="minor"/>
      </rPr>
      <t>2</t>
    </r>
  </si>
  <si>
    <r>
      <t>CO</t>
    </r>
    <r>
      <rPr>
        <b/>
        <sz val="8"/>
        <color theme="1"/>
        <rFont val="Calibri"/>
        <family val="2"/>
        <scheme val="minor"/>
      </rPr>
      <t xml:space="preserve">2 </t>
    </r>
    <r>
      <rPr>
        <b/>
        <sz val="11"/>
        <color theme="1"/>
        <rFont val="Calibri"/>
        <family val="2"/>
        <scheme val="minor"/>
      </rPr>
      <t>(Discounted at 3%)</t>
    </r>
  </si>
  <si>
    <r>
      <t>Sub-Total Emissions (Without CO</t>
    </r>
    <r>
      <rPr>
        <b/>
        <sz val="8"/>
        <color theme="1"/>
        <rFont val="Calibri"/>
        <family val="2"/>
        <scheme val="minor"/>
      </rPr>
      <t>2</t>
    </r>
    <r>
      <rPr>
        <b/>
        <sz val="11"/>
        <color theme="1"/>
        <rFont val="Calibri"/>
        <family val="2"/>
        <scheme val="minor"/>
      </rPr>
      <t>)</t>
    </r>
  </si>
  <si>
    <r>
      <t>Dicounted CO</t>
    </r>
    <r>
      <rPr>
        <b/>
        <sz val="8"/>
        <color theme="1"/>
        <rFont val="Calibri"/>
        <family val="2"/>
        <scheme val="minor"/>
      </rPr>
      <t>2</t>
    </r>
    <r>
      <rPr>
        <b/>
        <sz val="11"/>
        <color theme="1"/>
        <rFont val="Calibri"/>
        <family val="2"/>
        <scheme val="minor"/>
      </rPr>
      <t xml:space="preserve"> Emissions </t>
    </r>
  </si>
  <si>
    <t>Discounted Total Environmental Benefits</t>
  </si>
  <si>
    <t>Health</t>
  </si>
  <si>
    <t xml:space="preserve">Total Home Values </t>
  </si>
  <si>
    <t xml:space="preserve">Percent Increase in Home Values </t>
  </si>
  <si>
    <t>Property Value Increase Benefits</t>
  </si>
  <si>
    <t>Altnerative Roadway Maintenance Cost (1990$/mi)</t>
  </si>
  <si>
    <t>Alternative Pollution savings NCHRP (2005$/mi) $0.01-0.05</t>
  </si>
  <si>
    <t>MEANS OF TRANSPORTATION TO WORK</t>
  </si>
  <si>
    <t xml:space="preserve">  Car, truck, or van</t>
  </si>
  <si>
    <t xml:space="preserve">    Carpooled</t>
  </si>
  <si>
    <t xml:space="preserve">      In 4-or-more person carpool</t>
  </si>
  <si>
    <t xml:space="preserve">    Workers per car, truck, or van</t>
  </si>
  <si>
    <t xml:space="preserve">  Public transportation (excluding taxicab)</t>
  </si>
  <si>
    <t xml:space="preserve">  Taxicab, motorcycle, or other means</t>
  </si>
  <si>
    <t xml:space="preserve">  Less than 10 minutes</t>
  </si>
  <si>
    <t xml:space="preserve">  10 to 14 minutes</t>
  </si>
  <si>
    <t xml:space="preserve">  15 to 19 minutes</t>
  </si>
  <si>
    <t xml:space="preserve">  20 to 24 minutes</t>
  </si>
  <si>
    <t xml:space="preserve">  25 to 29 minutes</t>
  </si>
  <si>
    <t xml:space="preserve">  30 to 34 minutes</t>
  </si>
  <si>
    <t xml:space="preserve">  35 to 44 minutes</t>
  </si>
  <si>
    <t xml:space="preserve">  45 to 59 minutes</t>
  </si>
  <si>
    <t xml:space="preserve">  60 or more minutes</t>
  </si>
  <si>
    <t xml:space="preserve">  Workers 16 years and over in households</t>
  </si>
  <si>
    <t xml:space="preserve">    No vehicle available</t>
  </si>
  <si>
    <t xml:space="preserve">    1 vehicle available</t>
  </si>
  <si>
    <t xml:space="preserve">    2 vehicles available</t>
  </si>
  <si>
    <t xml:space="preserve">    3 or more vehicles available</t>
  </si>
  <si>
    <t>2014 ACS 5-Year Data</t>
  </si>
  <si>
    <t>2014 ACS 5-year Data</t>
  </si>
  <si>
    <t>2014 ACS 5-year Estimates</t>
  </si>
  <si>
    <t xml:space="preserve">2000 US Census SF1 </t>
  </si>
  <si>
    <t xml:space="preserve">14 Year Change </t>
  </si>
  <si>
    <t xml:space="preserve">    3% SCC (2015$)</t>
  </si>
  <si>
    <t>3% SCC (2016$)</t>
  </si>
  <si>
    <t xml:space="preserve">March 14, 2016 US Dollar per 1 British Pound </t>
  </si>
  <si>
    <t xml:space="preserve">Vehicle Maintenance Cost per Mile (Oil, Tires, etc. - Excludes Gasoline) (2016$/Mile) </t>
  </si>
  <si>
    <t>Maintenance (Oil, etc) Cost per VMT (2016$)</t>
  </si>
  <si>
    <t xml:space="preserve">Tires Cost per VMT (2016$) </t>
  </si>
  <si>
    <t xml:space="preserve">Alternative  - Pavement Cost per VMT (2016$/Mile) </t>
  </si>
  <si>
    <t>Altnerative Roadway Maintenance Cost (2016$/mi)</t>
  </si>
  <si>
    <t>Congestion Cost per VMT (2016$)</t>
  </si>
  <si>
    <t xml:space="preserve">Alternative Congestion Savings (2016$/mi) </t>
  </si>
  <si>
    <t xml:space="preserve">Value of Travel Time Savings (2016$) </t>
  </si>
  <si>
    <t>Value of Street Lighting ($2016 US Dollar / Mi)</t>
  </si>
  <si>
    <t>Value of Kerb Level ($2016 US Dollar / Mi)</t>
  </si>
  <si>
    <t>Value of Crowding ($2016 US Dollar / Mi)</t>
  </si>
  <si>
    <t>Value of Pavement Evenness ($2016 US Dollar / Mi)</t>
  </si>
  <si>
    <t>Value of Street Information Panels ($2016 US Dollar / Mi)</t>
  </si>
  <si>
    <t>Value of Street Benches ($2016 US Dollar / Mi)</t>
  </si>
  <si>
    <t>Value of Street Directional Signage ($2016 US Dollar / Mi)</t>
  </si>
  <si>
    <t xml:space="preserve">Pedestrian Commuters - Value of Commute Environment per Mile (2016$/Mile) </t>
  </si>
  <si>
    <t xml:space="preserve">Pedestrian Recreation - Value of Commute Environment per Hour (2016$/Mile) </t>
  </si>
  <si>
    <t xml:space="preserve">New Cyclist Commuter Health Benefit (Per-Capita Cost Savings from Physical Activity 2016$/Year) </t>
  </si>
  <si>
    <t xml:space="preserve">Value of Journey Ambiance Benefit of On-road segregated cycle lane  (2016 US$ / minute) </t>
  </si>
  <si>
    <t xml:space="preserve">Value of Journey Ambiance Benefit of Off-road segregated cycle track (2016 US$ / minute) </t>
  </si>
  <si>
    <t xml:space="preserve">Value of Recreation per Trip for Cyclists (2016$/Trip) </t>
  </si>
  <si>
    <t>Cyclist - Value of Commute Environment per 1 Hour Trip (2016$/Trip) for an on-road segregated cycle lane</t>
  </si>
  <si>
    <t>Cyclist - Value of Commute Environment per 1 Hour Trip (2016$/Trip) for an off-road segregated cycle track</t>
  </si>
  <si>
    <t xml:space="preserve">Alternative - Value of Recreation Trip for Residents within 1 mile of an Urban Train (2016$/Trip) </t>
  </si>
  <si>
    <t xml:space="preserve">Alternative - Value of Recreation Trip for Cyclists (Assumes 1 hour of cycling, 2016$/Trip) </t>
  </si>
  <si>
    <t xml:space="preserve">Alternative - Value of Recreation Trip for Pedestrians (2016$/Trip) </t>
  </si>
  <si>
    <t xml:space="preserve">VOC Value of Emissions (2016$) per metric ton </t>
  </si>
  <si>
    <t xml:space="preserve">NOx Value of Emissions (2016$) per metric ton </t>
  </si>
  <si>
    <t xml:space="preserve">PM Value of Emissions (2016$) per metric ton </t>
  </si>
  <si>
    <t xml:space="preserve">SOx Value of Emissions (2016$) per metric ton </t>
  </si>
  <si>
    <t>EIA US Regular Gasoline Prices - March 7, 2016</t>
  </si>
  <si>
    <t>https://www.eia.gov/petroleum/gasdiesel/</t>
  </si>
  <si>
    <t>AIS 1 (2016$)</t>
  </si>
  <si>
    <t>AIS 2(2016$)</t>
  </si>
  <si>
    <t>AIS 3(2016$)</t>
  </si>
  <si>
    <t>AIS 4(2016$)</t>
  </si>
  <si>
    <t>AIS 5(2016$)</t>
  </si>
  <si>
    <t>AIS 6(2016$)</t>
  </si>
  <si>
    <t>AIS 0 (2015$) per vehicle</t>
  </si>
  <si>
    <t>AIS 0 (2016$) per vehicle</t>
  </si>
  <si>
    <t xml:space="preserve">2016 TIGER VIII BCA Resource Guide </t>
  </si>
  <si>
    <t>2016 TIGER VIII BCA Resource Guide, Adjusted by CPI</t>
  </si>
  <si>
    <t>Zone 1</t>
  </si>
  <si>
    <t>Zone 2</t>
  </si>
  <si>
    <t>Zone 3</t>
  </si>
  <si>
    <t>Zone 4</t>
  </si>
  <si>
    <t>Zone 5</t>
  </si>
  <si>
    <t>Zone 6</t>
  </si>
  <si>
    <t>Zone 7</t>
  </si>
  <si>
    <t>http://www.bls.gov/cpi/cpid1601.pdf</t>
  </si>
  <si>
    <t xml:space="preserve">Bike/ Pedestrian Commuting Days Per Year </t>
  </si>
  <si>
    <t>Bike / Pedesitran Commuting Days per Year (Commuting Days per Year less Rain Days)</t>
  </si>
  <si>
    <t xml:space="preserve">Precipitation Days per Year </t>
  </si>
  <si>
    <t>http://www.bestplaces.net/climate/city/kentucky/lexington-fayette</t>
  </si>
  <si>
    <t>White</t>
  </si>
  <si>
    <t>Number of Households</t>
  </si>
  <si>
    <t>Number of Families</t>
  </si>
  <si>
    <t>LexTran March 2015 Meeting Minutes</t>
  </si>
  <si>
    <t>New Cyclists - Value of Recreation Time (2016$/Hr)</t>
  </si>
  <si>
    <t xml:space="preserve">New Pedestrian - Value of Recreation Time (2016$/Trip) </t>
  </si>
  <si>
    <t xml:space="preserve">Existing Cyclists - Value of Recreation Environment per Trip (2016$/Trip) </t>
  </si>
  <si>
    <t xml:space="preserve">Existing Pedestrians - Value of Recreation Environment per Trip (2016$/Trip) </t>
  </si>
  <si>
    <t>Annual Health Savings per Bicycle Commuters (2016$/Year)</t>
  </si>
  <si>
    <t>http://www.cdc.gov/physicalactivity/downloads/pa_state_indicator_report_2014.pdf - Table 1 State Indicator Report (100% less the percent of the state that met the 150 minute aerobic activity guideline)</t>
  </si>
  <si>
    <t xml:space="preserve">Lexington Average Impervious Conversion Value (Annual $/Sq. Feet) (2016$) </t>
  </si>
  <si>
    <t>Lexington-Fayette Urban County Government - WQ Management Fee (SW fee) rate is currently $4.61 / 2500 square feet. This is be applied to private property impervious services converted to pervious. - Adjusted by CPI</t>
  </si>
  <si>
    <t>Zone 1 Total</t>
  </si>
  <si>
    <r>
      <t>1/3</t>
    </r>
    <r>
      <rPr>
        <b/>
        <vertAlign val="superscript"/>
        <sz val="11"/>
        <color theme="1"/>
        <rFont val="Calibri"/>
        <family val="2"/>
        <scheme val="minor"/>
      </rPr>
      <t>rd</t>
    </r>
    <r>
      <rPr>
        <b/>
        <sz val="11"/>
        <color theme="1"/>
        <rFont val="Calibri"/>
        <family val="2"/>
        <scheme val="minor"/>
      </rPr>
      <t xml:space="preserve"> of 1.01</t>
    </r>
  </si>
  <si>
    <t>Zone 2 Total</t>
  </si>
  <si>
    <t>Zone 3 Total</t>
  </si>
  <si>
    <r>
      <t>1/3</t>
    </r>
    <r>
      <rPr>
        <b/>
        <vertAlign val="superscript"/>
        <sz val="11"/>
        <color theme="1"/>
        <rFont val="Calibri"/>
        <family val="2"/>
        <scheme val="minor"/>
      </rPr>
      <t>rd</t>
    </r>
    <r>
      <rPr>
        <b/>
        <sz val="11"/>
        <color theme="1"/>
        <rFont val="Calibri"/>
        <family val="2"/>
        <scheme val="minor"/>
      </rPr>
      <t xml:space="preserve"> of 2</t>
    </r>
  </si>
  <si>
    <t>Zone 4 Total</t>
  </si>
  <si>
    <r>
      <t>1/2</t>
    </r>
    <r>
      <rPr>
        <b/>
        <vertAlign val="superscript"/>
        <sz val="11"/>
        <color theme="1"/>
        <rFont val="Calibri"/>
        <family val="2"/>
        <scheme val="minor"/>
      </rPr>
      <t>nd</t>
    </r>
    <r>
      <rPr>
        <b/>
        <sz val="11"/>
        <color theme="1"/>
        <rFont val="Calibri"/>
        <family val="2"/>
        <scheme val="minor"/>
      </rPr>
      <t xml:space="preserve"> of 1.02</t>
    </r>
  </si>
  <si>
    <t>Zone 5 Total</t>
  </si>
  <si>
    <t>Zone 6 Total</t>
  </si>
  <si>
    <t>1/2 of 3</t>
  </si>
  <si>
    <t>1/2nd of 8.02</t>
  </si>
  <si>
    <t>1/2 of 8.01</t>
  </si>
  <si>
    <t>1/2 of 14</t>
  </si>
  <si>
    <t>1/2 of 8.02</t>
  </si>
  <si>
    <t>1/2 of 18</t>
  </si>
  <si>
    <t>1/4th of 9</t>
  </si>
  <si>
    <t>1/3rd of 13</t>
  </si>
  <si>
    <t>1/3rd of 19</t>
  </si>
  <si>
    <t>1/2 of 1.02</t>
  </si>
  <si>
    <t xml:space="preserve">1/4th of 9 </t>
  </si>
  <si>
    <t>1/2 of 11</t>
  </si>
  <si>
    <t>1/4th of 1.02</t>
  </si>
  <si>
    <t xml:space="preserve">Zone 6 </t>
  </si>
  <si>
    <t>2014 U.S. Census American Consumer Survey 5-year Estimates - For Census Tracts within 0.25 Mi of the project (A Conservative Estimate, This is the shortest time of the 0.25, 0.5, 1 mi, and county statistics)</t>
  </si>
  <si>
    <t>Tier 1 - Vehicle Only</t>
  </si>
  <si>
    <t>CrashYear</t>
  </si>
  <si>
    <t>CountOfLRS_ID</t>
  </si>
  <si>
    <t>SumOfMOTOR_VEHI</t>
  </si>
  <si>
    <t>SumOfUNITS_INVO</t>
  </si>
  <si>
    <t>SumOfKILLED</t>
  </si>
  <si>
    <t>SumOfINJURED</t>
  </si>
  <si>
    <t>SumOfInjuryCrashes</t>
  </si>
  <si>
    <t>SumOfFatalCrashes</t>
  </si>
  <si>
    <t>474</t>
  </si>
  <si>
    <t>944</t>
  </si>
  <si>
    <t>954</t>
  </si>
  <si>
    <t>0</t>
  </si>
  <si>
    <t>93</t>
  </si>
  <si>
    <t>62</t>
  </si>
  <si>
    <t>9</t>
  </si>
  <si>
    <t>18</t>
  </si>
  <si>
    <t>Tier 2 - Vehicle Only</t>
  </si>
  <si>
    <t>1436</t>
  </si>
  <si>
    <t>2939</t>
  </si>
  <si>
    <t>2960</t>
  </si>
  <si>
    <t>408</t>
  </si>
  <si>
    <t>276</t>
  </si>
  <si>
    <t xml:space="preserve">Tier 2 - Bike and Pedestrian </t>
  </si>
  <si>
    <t>16</t>
  </si>
  <si>
    <t>32</t>
  </si>
  <si>
    <t xml:space="preserve">Tier 3 is the same as Tier 2 as Zone 6 will be constructed in an area that is not currently a roadway. </t>
  </si>
  <si>
    <t>Project Total - Zones 1 to 7 (Vehicles Only)</t>
  </si>
  <si>
    <t>SumOfInjury Crashes</t>
  </si>
  <si>
    <t>SumOfFatal Crashes</t>
  </si>
  <si>
    <t>2011</t>
  </si>
  <si>
    <t>2012</t>
  </si>
  <si>
    <t>2013</t>
  </si>
  <si>
    <t>2014</t>
  </si>
  <si>
    <t>2015</t>
  </si>
  <si>
    <t>2016</t>
  </si>
  <si>
    <t>Project Total - Zones 1 to 7 (Bike and Pedestrian)</t>
  </si>
  <si>
    <r>
      <rPr>
        <sz val="10"/>
        <rFont val="Times New Roman"/>
        <family val="1"/>
      </rPr>
      <t>DISTRICT                                                                                                                            DATE:</t>
    </r>
  </si>
  <si>
    <r>
      <rPr>
        <sz val="10"/>
        <rFont val="Times New Roman"/>
        <family val="1"/>
      </rPr>
      <t>DEVELOPER/OWNER                                                                          ITEM NUMBER</t>
    </r>
  </si>
  <si>
    <t>PREPARED BY:</t>
  </si>
  <si>
    <r>
      <rPr>
        <b/>
        <sz val="10"/>
        <rFont val="Times New Roman"/>
        <family val="1"/>
      </rPr>
      <t>Lexington-Fayette Urban County Government</t>
    </r>
  </si>
  <si>
    <r>
      <rPr>
        <b/>
        <u/>
        <sz val="10"/>
        <rFont val="Times New Roman"/>
        <family val="1"/>
      </rPr>
      <t>Design Phase</t>
    </r>
  </si>
  <si>
    <r>
      <rPr>
        <b/>
        <sz val="10"/>
        <rFont val="Times New Roman"/>
        <family val="1"/>
      </rPr>
      <t>Description</t>
    </r>
  </si>
  <si>
    <r>
      <rPr>
        <b/>
        <sz val="10"/>
        <rFont val="Times New Roman"/>
        <family val="1"/>
      </rPr>
      <t>Unit</t>
    </r>
  </si>
  <si>
    <r>
      <rPr>
        <b/>
        <sz val="10"/>
        <rFont val="Times New Roman"/>
        <family val="1"/>
      </rPr>
      <t>Quantity</t>
    </r>
  </si>
  <si>
    <r>
      <rPr>
        <b/>
        <sz val="10"/>
        <rFont val="Times New Roman"/>
        <family val="1"/>
      </rPr>
      <t>Unit Price</t>
    </r>
  </si>
  <si>
    <t>Extension</t>
  </si>
  <si>
    <t>Engineering Design</t>
  </si>
  <si>
    <t>LS</t>
  </si>
  <si>
    <t>DESIGN SUBTOTAL:</t>
  </si>
  <si>
    <r>
      <rPr>
        <b/>
        <u/>
        <sz val="10"/>
        <rFont val="Times New Roman"/>
        <family val="1"/>
      </rPr>
      <t>Right of Way Phase</t>
    </r>
  </si>
  <si>
    <t>Right of Way Acquisition</t>
  </si>
  <si>
    <t>RIGHT OF WAY SUBTOTAL:</t>
  </si>
  <si>
    <r>
      <rPr>
        <b/>
        <u/>
        <sz val="10"/>
        <rFont val="Times New Roman"/>
        <family val="1"/>
      </rPr>
      <t>Utility Phase</t>
    </r>
  </si>
  <si>
    <t>Relocation</t>
  </si>
  <si>
    <t>UTILITY SUBTOTAL:</t>
  </si>
  <si>
    <r>
      <rPr>
        <b/>
        <u/>
        <sz val="10"/>
        <rFont val="Times New Roman"/>
        <family val="1"/>
      </rPr>
      <t>Construction Phase</t>
    </r>
  </si>
  <si>
    <t xml:space="preserve">Iten No. </t>
  </si>
  <si>
    <r>
      <rPr>
        <b/>
        <sz val="10"/>
        <rFont val="Times New Roman"/>
        <family val="1"/>
      </rPr>
      <t>INFRASTRUCTURE</t>
    </r>
  </si>
  <si>
    <r>
      <rPr>
        <sz val="10"/>
        <rFont val="Times New Roman"/>
        <family val="1"/>
      </rPr>
      <t>C&amp;G</t>
    </r>
  </si>
  <si>
    <r>
      <rPr>
        <sz val="10"/>
        <rFont val="Times New Roman"/>
        <family val="1"/>
      </rPr>
      <t>LF</t>
    </r>
  </si>
  <si>
    <r>
      <rPr>
        <sz val="10"/>
        <rFont val="Times New Roman"/>
        <family val="1"/>
      </rPr>
      <t>LF CURB REMOVAL</t>
    </r>
  </si>
  <si>
    <r>
      <rPr>
        <sz val="10"/>
        <rFont val="Times New Roman"/>
        <family val="1"/>
      </rPr>
      <t>SIDEWALK REMOVAL</t>
    </r>
  </si>
  <si>
    <r>
      <rPr>
        <sz val="10"/>
        <rFont val="Times New Roman"/>
        <family val="1"/>
      </rPr>
      <t>SY</t>
    </r>
  </si>
  <si>
    <r>
      <rPr>
        <sz val="10"/>
        <rFont val="Times New Roman"/>
        <family val="1"/>
      </rPr>
      <t>MILL &amp; RESURFACE</t>
    </r>
  </si>
  <si>
    <r>
      <rPr>
        <sz val="10"/>
        <rFont val="Times New Roman"/>
        <family val="1"/>
      </rPr>
      <t>SW</t>
    </r>
  </si>
  <si>
    <r>
      <rPr>
        <sz val="10"/>
        <rFont val="Times New Roman"/>
        <family val="1"/>
      </rPr>
      <t>BIKE PATH</t>
    </r>
  </si>
  <si>
    <r>
      <rPr>
        <sz val="10"/>
        <rFont val="Times New Roman"/>
        <family val="1"/>
      </rPr>
      <t>PLANTED BUFFER</t>
    </r>
  </si>
  <si>
    <r>
      <rPr>
        <sz val="10"/>
        <rFont val="Times New Roman"/>
        <family val="1"/>
      </rPr>
      <t>REALIGN VINE ST/MAIN ST INT</t>
    </r>
  </si>
  <si>
    <r>
      <rPr>
        <sz val="10"/>
        <rFont val="Times New Roman"/>
        <family val="1"/>
      </rPr>
      <t>LS</t>
    </r>
  </si>
  <si>
    <r>
      <rPr>
        <sz val="10"/>
        <rFont val="Times New Roman"/>
        <family val="1"/>
      </rPr>
      <t>GRAVITY RETAINING WALL</t>
    </r>
  </si>
  <si>
    <r>
      <rPr>
        <sz val="10"/>
        <rFont val="Times New Roman"/>
        <family val="1"/>
      </rPr>
      <t>SF</t>
    </r>
  </si>
  <si>
    <r>
      <rPr>
        <sz val="10"/>
        <rFont val="Times New Roman"/>
        <family val="1"/>
      </rPr>
      <t>MIDBLOCK PED XING</t>
    </r>
  </si>
  <si>
    <r>
      <rPr>
        <sz val="10"/>
        <rFont val="Times New Roman"/>
        <family val="1"/>
      </rPr>
      <t>TRANSIT CENTER IMP.</t>
    </r>
  </si>
  <si>
    <r>
      <rPr>
        <sz val="10"/>
        <rFont val="Times New Roman"/>
        <family val="1"/>
      </rPr>
      <t>TRANSIT CENTER ELEC CHARGE</t>
    </r>
  </si>
  <si>
    <t>INFRASTRUCTURE SUBTOTAL:</t>
  </si>
  <si>
    <r>
      <rPr>
        <b/>
        <sz val="10"/>
        <rFont val="Times New Roman"/>
        <family val="1"/>
      </rPr>
      <t>STORMWATER BMP</t>
    </r>
  </si>
  <si>
    <r>
      <rPr>
        <sz val="10"/>
        <rFont val="Times New Roman"/>
        <family val="1"/>
      </rPr>
      <t>BIOSWALE</t>
    </r>
  </si>
  <si>
    <r>
      <rPr>
        <sz val="10"/>
        <rFont val="Times New Roman"/>
        <family val="1"/>
      </rPr>
      <t>BIOSWALE HEADER CURB</t>
    </r>
  </si>
  <si>
    <t>STORMWATER BMP SUBTOTAL:</t>
  </si>
  <si>
    <r>
      <rPr>
        <b/>
        <sz val="10"/>
        <rFont val="Times New Roman"/>
        <family val="1"/>
      </rPr>
      <t>STRIPPING &amp; SIGNAGE</t>
    </r>
  </si>
  <si>
    <r>
      <rPr>
        <sz val="10"/>
        <rFont val="Times New Roman"/>
        <family val="1"/>
      </rPr>
      <t>4" THERMO</t>
    </r>
  </si>
  <si>
    <r>
      <rPr>
        <sz val="10"/>
        <rFont val="Times New Roman"/>
        <family val="1"/>
      </rPr>
      <t>WAYFINDING SIGNS</t>
    </r>
  </si>
  <si>
    <r>
      <rPr>
        <sz val="10"/>
        <rFont val="Times New Roman"/>
        <family val="1"/>
      </rPr>
      <t>EACH</t>
    </r>
  </si>
  <si>
    <t>STRIPPING AND SIGNAGE SUBTOTAL:</t>
  </si>
  <si>
    <r>
      <rPr>
        <b/>
        <sz val="10"/>
        <rFont val="Times New Roman"/>
        <family val="1"/>
      </rPr>
      <t>DRAINAGE</t>
    </r>
  </si>
  <si>
    <r>
      <rPr>
        <sz val="10"/>
        <rFont val="Times New Roman"/>
        <family val="1"/>
      </rPr>
      <t>STORM DRAIN</t>
    </r>
  </si>
  <si>
    <r>
      <rPr>
        <sz val="10"/>
        <rFont val="Times New Roman"/>
        <family val="1"/>
      </rPr>
      <t>TYPE A (.5)</t>
    </r>
  </si>
  <si>
    <r>
      <rPr>
        <sz val="10"/>
        <rFont val="Times New Roman"/>
        <family val="1"/>
      </rPr>
      <t>TYPE W (.5)</t>
    </r>
  </si>
  <si>
    <r>
      <rPr>
        <sz val="10"/>
        <rFont val="Times New Roman"/>
        <family val="1"/>
      </rPr>
      <t>DBI</t>
    </r>
  </si>
  <si>
    <t>DRAINAGE SUBTOTAL:</t>
  </si>
  <si>
    <r>
      <rPr>
        <b/>
        <sz val="10"/>
        <rFont val="Times New Roman"/>
        <family val="1"/>
      </rPr>
      <t>SIGNALS</t>
    </r>
  </si>
  <si>
    <r>
      <rPr>
        <sz val="10"/>
        <rFont val="Times New Roman"/>
        <family val="1"/>
      </rPr>
      <t>SIGNAL REBUILD/BIKE SIGNALS</t>
    </r>
  </si>
  <si>
    <t>SIGNALS SUBTOTAL:</t>
  </si>
  <si>
    <r>
      <rPr>
        <b/>
        <sz val="10"/>
        <rFont val="Times New Roman"/>
        <family val="1"/>
      </rPr>
      <t>STREETSCAPE /  FURNISHINGS</t>
    </r>
  </si>
  <si>
    <r>
      <rPr>
        <sz val="10"/>
        <rFont val="Times New Roman"/>
        <family val="1"/>
      </rPr>
      <t>BENCHES</t>
    </r>
  </si>
  <si>
    <r>
      <rPr>
        <sz val="10"/>
        <rFont val="Times New Roman"/>
        <family val="1"/>
      </rPr>
      <t>LIGHTING (LARGE)</t>
    </r>
  </si>
  <si>
    <r>
      <rPr>
        <sz val="10"/>
        <rFont val="Times New Roman"/>
        <family val="1"/>
      </rPr>
      <t>LIGHTING (SMALL)</t>
    </r>
  </si>
  <si>
    <r>
      <rPr>
        <sz val="10"/>
        <rFont val="Times New Roman"/>
        <family val="1"/>
      </rPr>
      <t>BIKE RACKS</t>
    </r>
  </si>
  <si>
    <r>
      <rPr>
        <sz val="10"/>
        <rFont val="Times New Roman"/>
        <family val="1"/>
      </rPr>
      <t>TRASH RECEPTACLE</t>
    </r>
  </si>
  <si>
    <r>
      <rPr>
        <sz val="10"/>
        <rFont val="Times New Roman"/>
        <family val="1"/>
      </rPr>
      <t>TREES</t>
    </r>
  </si>
  <si>
    <r>
      <rPr>
        <sz val="10"/>
        <rFont val="Times New Roman"/>
        <family val="1"/>
      </rPr>
      <t>DIFFUSE PAVERS</t>
    </r>
  </si>
  <si>
    <r>
      <rPr>
        <sz val="10"/>
        <rFont val="Times New Roman"/>
        <family val="1"/>
      </rPr>
      <t>STANDARD PAVERS</t>
    </r>
  </si>
  <si>
    <r>
      <rPr>
        <sz val="10"/>
        <rFont val="Times New Roman"/>
        <family val="1"/>
      </rPr>
      <t>ANGLE STONE WALL</t>
    </r>
  </si>
  <si>
    <r>
      <rPr>
        <b/>
        <sz val="10"/>
        <rFont val="Times New Roman"/>
        <family val="1"/>
      </rPr>
      <t>GENERAL</t>
    </r>
  </si>
  <si>
    <r>
      <rPr>
        <sz val="10"/>
        <rFont val="Times New Roman"/>
        <family val="1"/>
      </rPr>
      <t>MOBILIZATION</t>
    </r>
  </si>
  <si>
    <r>
      <rPr>
        <sz val="10"/>
        <rFont val="Times New Roman"/>
        <family val="1"/>
      </rPr>
      <t>DEMOBILIZATION</t>
    </r>
  </si>
  <si>
    <r>
      <rPr>
        <sz val="10"/>
        <rFont val="Times New Roman"/>
        <family val="1"/>
      </rPr>
      <t>MAINTENANCE OF TRAFFIC</t>
    </r>
  </si>
  <si>
    <r>
      <rPr>
        <sz val="10"/>
        <rFont val="Times New Roman"/>
        <family val="1"/>
      </rPr>
      <t>EROSION CONTROL</t>
    </r>
  </si>
  <si>
    <t>GENERAL SUBTOTAL:</t>
  </si>
  <si>
    <r>
      <rPr>
        <b/>
        <sz val="10"/>
        <rFont val="Times New Roman"/>
        <family val="1"/>
      </rPr>
      <t>CONSTRUCTION SUBTOTAL</t>
    </r>
  </si>
  <si>
    <t>CONTINGENCY</t>
  </si>
  <si>
    <r>
      <rPr>
        <b/>
        <sz val="10"/>
        <rFont val="Times New Roman"/>
        <family val="1"/>
      </rPr>
      <t>CONSTRUCTION TOTAL</t>
    </r>
  </si>
  <si>
    <t>BUDGETARY COST ESTIMATE</t>
  </si>
  <si>
    <t>TOTAL:</t>
  </si>
  <si>
    <t>Property Value Benefits</t>
  </si>
  <si>
    <t>Preliminary Engineering Cost Estimate</t>
  </si>
  <si>
    <t>**2017</t>
  </si>
  <si>
    <t>*2016</t>
  </si>
  <si>
    <t>* 2016 data is the CPI-U U.S. Average for Feburary 2015 to January 2017</t>
  </si>
  <si>
    <t>*2017 and beyond are linear forecasts</t>
  </si>
  <si>
    <t>**2018</t>
  </si>
  <si>
    <t>**2019</t>
  </si>
  <si>
    <t>**2020</t>
  </si>
  <si>
    <t>**2021</t>
  </si>
  <si>
    <t>**2022</t>
  </si>
  <si>
    <t>Median Home Value (2014$)</t>
  </si>
  <si>
    <t>Median Housing Unit Value:</t>
  </si>
  <si>
    <t xml:space="preserve">Housing Units Within 0.25 Miles </t>
  </si>
  <si>
    <t>Discounted Property Value Increase Benefits</t>
  </si>
  <si>
    <t>N/A</t>
  </si>
  <si>
    <t xml:space="preserve">  Mean travel time to work (minutes)**</t>
  </si>
  <si>
    <t xml:space="preserve">** Mean travel time to work for those who traveled by car alone, in a carpool, or public transit was not updated at the 2014 5-year ACS level. 2010 estimates are the most recently updated data for these statistics, and thus were used in this analysis. </t>
  </si>
  <si>
    <t>0.25 mi Zone</t>
  </si>
  <si>
    <t>0.5 Mi Zone</t>
  </si>
  <si>
    <t>1 Mi Zone</t>
  </si>
  <si>
    <t>Estimated Users based on 2014 5-year ACS Data</t>
  </si>
  <si>
    <t>Current Status</t>
  </si>
  <si>
    <t>Changes to Baseline</t>
  </si>
  <si>
    <t>Type of Impacts</t>
  </si>
  <si>
    <t>Population Affected by Impacts</t>
  </si>
  <si>
    <t>Economic Benefit</t>
  </si>
  <si>
    <t>Summary of Results</t>
  </si>
  <si>
    <t>Page Reference in BCA</t>
  </si>
  <si>
    <t>Local commuters drive, carpool, etc. to work</t>
  </si>
  <si>
    <t>A modal shift to bicycle and pedestrian commuting</t>
  </si>
  <si>
    <t>Reduction in VMT</t>
  </si>
  <si>
    <t>Reduced Vehicle Maintenance, Reduced Roadway Maintenance, Congestion Savings, Reduced Fuel Consumption, Reduced Emissions, Reduced Vehicle Crashes</t>
  </si>
  <si>
    <t>Disconnected bicycle and pedestrian Trails</t>
  </si>
  <si>
    <t>An increase in total bicycle and pedestrian users and accessibility.  Increase experience for existing users.</t>
  </si>
  <si>
    <t>Recreation, Health, and Mobility Benefits</t>
  </si>
  <si>
    <t>Cyclists and pedestrians are commuting near or on roadways</t>
  </si>
  <si>
    <t xml:space="preserve">The creation of an off-road multi-use path, intersection improvements, and crossings. </t>
  </si>
  <si>
    <t xml:space="preserve">Decrease in crash costs for all users. </t>
  </si>
  <si>
    <t xml:space="preserve">Safety Benefits </t>
  </si>
  <si>
    <t>Legacy Trail</t>
  </si>
  <si>
    <t xml:space="preserve">Town Branch Trial </t>
  </si>
  <si>
    <t>Total Regional Trails</t>
  </si>
  <si>
    <t>0.25 Mi</t>
  </si>
  <si>
    <t>0.5 Mi</t>
  </si>
  <si>
    <t>1 Mi</t>
  </si>
  <si>
    <t xml:space="preserve">High Existing Daily Bicycle Users (Including Commutes) </t>
  </si>
  <si>
    <t>Future Percent Bicycle Commuters</t>
  </si>
  <si>
    <t>Future Bicycle Commuters</t>
  </si>
  <si>
    <t>Estimated Commute Distance (miles)</t>
  </si>
  <si>
    <t>Regional Trail Total:</t>
  </si>
  <si>
    <t>Reduced VMT (Annual) Total Project</t>
  </si>
  <si>
    <t>Reduced VMT (Annual) Local Users</t>
  </si>
  <si>
    <t>New Bicycle Commuters</t>
  </si>
  <si>
    <t>Regional Commuters</t>
  </si>
  <si>
    <t>Reduced Vehicles</t>
  </si>
  <si>
    <t>Trips per Day</t>
  </si>
  <si>
    <t>Bike/ Pedestrian Commuting Days per Year</t>
  </si>
  <si>
    <t>Reduced VMT (Annual) Regional Users</t>
  </si>
  <si>
    <t>Zone 1 length</t>
  </si>
  <si>
    <t>Zone 2 Length</t>
  </si>
  <si>
    <t>Zone 3 Length</t>
  </si>
  <si>
    <t>Zone 4 Length</t>
  </si>
  <si>
    <t>Zone 5 Length</t>
  </si>
  <si>
    <t>Zone 6 Length</t>
  </si>
  <si>
    <t>Zone 7 Length</t>
  </si>
  <si>
    <t xml:space="preserve">Total Project Length </t>
  </si>
  <si>
    <t>Google Maps - Measurement Tool</t>
  </si>
  <si>
    <t>Study</t>
  </si>
  <si>
    <t>Setting</t>
  </si>
  <si>
    <t>City</t>
  </si>
  <si>
    <t>City Population*</t>
  </si>
  <si>
    <t>City Average Population Density (people per square mile)*</t>
  </si>
  <si>
    <t>Trail Length</t>
  </si>
  <si>
    <t xml:space="preserve">Radius of Trail </t>
  </si>
  <si>
    <t>Number of Parcels</t>
  </si>
  <si>
    <t>Original Property Values</t>
  </si>
  <si>
    <t>Increase in Property Values</t>
  </si>
  <si>
    <t>Percent Increase</t>
  </si>
  <si>
    <t>Cultural Trail Assessment</t>
  </si>
  <si>
    <t>Urban</t>
  </si>
  <si>
    <t>Indianapolis</t>
  </si>
  <si>
    <t>8 mile</t>
  </si>
  <si>
    <t>500 feet</t>
  </si>
  <si>
    <t>Understanding the Impact of Trails on Residential Property Values</t>
  </si>
  <si>
    <t>Suburban/Rural</t>
  </si>
  <si>
    <t>Little Miami Scenic Trail, Ohio</t>
  </si>
  <si>
    <t>78.1 miles</t>
  </si>
  <si>
    <t>10,000 feet</t>
  </si>
  <si>
    <t>The Relative Impacts of Trails and Greenbelts on Home Price (Trail alone)</t>
  </si>
  <si>
    <t>Urban/Suburban</t>
  </si>
  <si>
    <t>San Antonio, Bexar County, Texas</t>
  </si>
  <si>
    <t>52.6 miles</t>
  </si>
  <si>
    <t>Unspecified</t>
  </si>
  <si>
    <t>The Relative Impacts of Trails and Greenbelts on Home Price (Trail/Greenbelt Combination)</t>
  </si>
  <si>
    <t>Two Approaches to Valuing Some of Bicycle Facilities' Presumed Benefits(Off-street, Urban)</t>
  </si>
  <si>
    <t>Minneapolis-St. Paul</t>
  </si>
  <si>
    <t>400 meters</t>
  </si>
  <si>
    <t>Minutemen Bikeway and Nashua River Rail Trail Run</t>
  </si>
  <si>
    <t>Various</t>
  </si>
  <si>
    <t>7 towns in Massachusetts</t>
  </si>
  <si>
    <t>Property Value/Desirability Effects of Bike Paths Adjacent to Residential Areas</t>
  </si>
  <si>
    <t>Delaware</t>
  </si>
  <si>
    <t>50 meters</t>
  </si>
  <si>
    <t>Property values, recreation values, and urban greenways</t>
  </si>
  <si>
    <t>Marion County</t>
  </si>
  <si>
    <t>7.1 miles</t>
  </si>
  <si>
    <t>0.5 mile</t>
  </si>
  <si>
    <t>The Effect of Environmental Zoning and Amenities on Propverty Values: Portland, Oregon</t>
  </si>
  <si>
    <t>Portland, Oregon</t>
  </si>
  <si>
    <t>200 feet</t>
  </si>
  <si>
    <t>City of Vancouver, Bicycle Plan</t>
  </si>
  <si>
    <t>Vancouver, Washington</t>
  </si>
  <si>
    <t>Evaluation Of The Burke-Gilman Trail’s Effect on Property Values and Crime</t>
  </si>
  <si>
    <t>Seattle, Washington</t>
  </si>
  <si>
    <t>12.1 miles</t>
  </si>
  <si>
    <t>The effects of greenbelts on residential property values: some findings on the political economy of open space.</t>
  </si>
  <si>
    <t>Boulder, Colorado</t>
  </si>
  <si>
    <t xml:space="preserve">3,200 feet </t>
  </si>
  <si>
    <t xml:space="preserve">* US Census data was compiled based on year of study publication. When data for the year of publication was not available, the nearest decentennial Census population/density was used. </t>
  </si>
  <si>
    <t>Mean:</t>
  </si>
  <si>
    <t>Median:</t>
  </si>
  <si>
    <t xml:space="preserve">Minimum: </t>
  </si>
  <si>
    <t>Maximum:</t>
  </si>
  <si>
    <t>Limited bicycle and pedestrian accesibility near homes</t>
  </si>
  <si>
    <t>Added trail amenities which will increase nearby home values</t>
  </si>
  <si>
    <t>Property Value premiums</t>
  </si>
  <si>
    <t>Quality of Life, Property Value Premiums</t>
  </si>
  <si>
    <t xml:space="preserve">A.) </t>
  </si>
  <si>
    <t>In 2014, the Project Area had an estimated 13,466 commuters. From 2021-2050, there is expected to be between 14,379 and 19,889 commuters plus additional recreational users affected by the project.</t>
  </si>
  <si>
    <t xml:space="preserve">2,428 housing units within 0.25 miles of the project area </t>
  </si>
  <si>
    <t>From 2011 to 2014, there were 1,149 PDO, 299 Injury, and 0 Fatal Crash near the Project Area.</t>
  </si>
  <si>
    <t>In 2014, the Project Area had an estimated 407 existing bicycle and 2,069 existing pedestrian users. From 2020-2049, new bicycle and pedestrian users are expected to be between 2,191 and 3,027</t>
  </si>
  <si>
    <t xml:space="preserve">Median Home Value (2020$) </t>
  </si>
  <si>
    <t>Discounted Annual Benefits (2016$)</t>
  </si>
  <si>
    <t xml:space="preserve">Value of Recreational Time (Per Hour, 2016$) </t>
  </si>
  <si>
    <t>Value of an off-road facility (Per Trip, 2016$)</t>
  </si>
  <si>
    <t xml:space="preserve">Discounted Annual Benefits (2016$) </t>
  </si>
  <si>
    <t>OLD Tier 1 - Vehicle Only</t>
  </si>
  <si>
    <t>OLD Tier 1 - Bike and Pedestrian</t>
  </si>
  <si>
    <t xml:space="preserve">Tier 1 - Bike and Pedestrian </t>
  </si>
  <si>
    <t xml:space="preserve">Roadway Maintenance Cost per Mile (Pavement, etc.) (2016$/Mile) </t>
  </si>
  <si>
    <t>Assumed Travel Distance (miles)</t>
  </si>
  <si>
    <t>An estimated $3.1M in benefits over the 30-year project life</t>
  </si>
  <si>
    <t xml:space="preserve">Quality of Life Benefits are difficult to quantify. Debated methodologies estimated to be $23.1M in benefits over the 30-year project life. 
*These were not included in the BCR calculation. </t>
  </si>
  <si>
    <t xml:space="preserve">Property Value premium benefits amount to $3.5M over the 30-year project life. </t>
  </si>
  <si>
    <t xml:space="preserve">An estimated $61.4M million in benefits over the 30-year project life. </t>
  </si>
  <si>
    <t>Reduction in VMT, Page 21</t>
  </si>
  <si>
    <t>Quality of Life, Page 33</t>
  </si>
  <si>
    <t>Property Value benefits, Page 32</t>
  </si>
  <si>
    <t xml:space="preserve">Safety Benefits, Page 38 </t>
  </si>
  <si>
    <t xml:space="preserve">A.) The TIGER VIII BCA Guidance Document recommends limiting the inclusion of Recreation and Mobility Benefits to a qualatative discussion. Recreation and Mobility Benefits were calcuated at a total of $23.2 Million over the 30-year project life. However, because the methodolgies used are still in development and debated practices, these benefits have not been included in calculating the projects Net Benefits or BCA Score. 
B.) The TIGER VIII BCA Guidance Document recommends limiting the inclusion of non-transportation benefits, such as Stormwater Benefits, to a qualatative discussion. Stormwater Benefits were calculated at a total of $448,000  over the 30-year project life. However, because this is not a transportation benefit, these benefits have not been included in calculating the projects Net Benefits or BCA Score. </t>
  </si>
  <si>
    <t>Stormwater Benefits</t>
  </si>
  <si>
    <t>B.)</t>
  </si>
  <si>
    <t>Tier 1 - Full Project</t>
  </si>
  <si>
    <t>http://www.bea.gov/scb/account_articles/national/wlth2594/tableC.htm</t>
  </si>
  <si>
    <t>Depreciation Rate for Government Non-Buildings (Highways and Streets)</t>
  </si>
  <si>
    <t>Calculated from : http://www.nyc.gov/html/om/pdf/bike_lanes_memo.pdf</t>
  </si>
  <si>
    <t xml:space="preserve">Commuting Days per Year (5 days a week, 50 weeks)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</si>
</sst>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quot;$&quot;#,##0.00"/>
    <numFmt numFmtId="167" formatCode="&quot;$&quot;#,##0"/>
    <numFmt numFmtId="168" formatCode="#,##0.0"/>
    <numFmt numFmtId="169" formatCode="[$£-809]#,##0.00"/>
    <numFmt numFmtId="170" formatCode="#,##0.0000"/>
    <numFmt numFmtId="171" formatCode="&quot;$&quot;#,##0.0000"/>
    <numFmt numFmtId="172" formatCode="0.0000"/>
    <numFmt numFmtId="173" formatCode="0.000%"/>
    <numFmt numFmtId="174" formatCode="0.0"/>
    <numFmt numFmtId="175" formatCode="#,##0.000"/>
    <numFmt numFmtId="176" formatCode="_(&quot;$&quot;* #,##0.000000_);_(&quot;$&quot;* \(#,##0.000000\);_(&quot;$&quot;* &quot;-&quot;??_);_(@_)"/>
    <numFmt numFmtId="177" formatCode="&quot;$&quot;#,##0.00000"/>
    <numFmt numFmtId="178" formatCode="&quot;$&quot;#,##0.000"/>
    <numFmt numFmtId="179" formatCode="###0;###0"/>
    <numFmt numFmtId="180" formatCode="###0.0;###0.0"/>
    <numFmt numFmtId="181" formatCode="###0.00;###0.00"/>
    <numFmt numFmtId="182" formatCode="#,##0;#,##0"/>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8"/>
      <name val="Calibri"/>
      <family val="2"/>
      <scheme val="minor"/>
    </font>
    <font>
      <sz val="11"/>
      <name val="Calibri"/>
      <family val="2"/>
      <scheme val="minor"/>
    </font>
    <font>
      <b/>
      <sz val="11"/>
      <name val="Calibri"/>
      <family val="2"/>
      <scheme val="minor"/>
    </font>
    <font>
      <u/>
      <sz val="11"/>
      <color theme="10"/>
      <name val="Calibri"/>
      <family val="2"/>
      <scheme val="minor"/>
    </font>
    <font>
      <sz val="9"/>
      <color indexed="81"/>
      <name val="Tahoma"/>
      <family val="2"/>
    </font>
    <font>
      <b/>
      <sz val="9"/>
      <color indexed="81"/>
      <name val="Tahoma"/>
      <family val="2"/>
    </font>
    <font>
      <sz val="11"/>
      <color theme="1"/>
      <name val="Times New Roman"/>
      <family val="1"/>
    </font>
    <font>
      <b/>
      <sz val="8"/>
      <color theme="1"/>
      <name val="Calibri"/>
      <family val="2"/>
      <scheme val="minor"/>
    </font>
    <font>
      <b/>
      <sz val="11"/>
      <color theme="1"/>
      <name val="Times New Roman"/>
      <family val="1"/>
    </font>
    <font>
      <sz val="10"/>
      <name val="Arial"/>
      <family val="2"/>
    </font>
    <font>
      <sz val="10"/>
      <color indexed="8"/>
      <name val="SansSerif"/>
      <charset val="2"/>
    </font>
    <font>
      <b/>
      <vertAlign val="superscript"/>
      <sz val="11"/>
      <color theme="1"/>
      <name val="Calibri"/>
      <family val="2"/>
      <scheme val="minor"/>
    </font>
    <font>
      <sz val="11"/>
      <color indexed="8"/>
      <name val="Calibri"/>
      <family val="2"/>
    </font>
    <font>
      <sz val="10"/>
      <color indexed="8"/>
      <name val="Arial"/>
      <family val="2"/>
    </font>
    <font>
      <b/>
      <sz val="11"/>
      <color indexed="8"/>
      <name val="Calibri"/>
      <family val="2"/>
    </font>
    <font>
      <sz val="10"/>
      <color indexed="8"/>
      <name val="Calibri"/>
      <family val="2"/>
      <scheme val="minor"/>
    </font>
    <font>
      <b/>
      <sz val="10"/>
      <color indexed="8"/>
      <name val="Calibri"/>
      <family val="2"/>
      <scheme val="minor"/>
    </font>
    <font>
      <sz val="10"/>
      <color rgb="FF000000"/>
      <name val="Times New Roman"/>
      <family val="1"/>
    </font>
    <font>
      <b/>
      <sz val="10"/>
      <name val="Times New Roman"/>
      <family val="1"/>
    </font>
    <font>
      <sz val="10"/>
      <name val="Times New Roman"/>
      <family val="1"/>
    </font>
    <font>
      <b/>
      <u/>
      <sz val="10"/>
      <name val="Times New Roman"/>
      <family val="1"/>
    </font>
    <font>
      <b/>
      <sz val="10"/>
      <color rgb="FF000000"/>
      <name val="Times New Roman"/>
      <family val="1"/>
    </font>
    <font>
      <b/>
      <u/>
      <sz val="10"/>
      <color rgb="FF000000"/>
      <name val="Times New Roman"/>
      <family val="1"/>
    </font>
    <font>
      <b/>
      <u val="singleAccounting"/>
      <sz val="10"/>
      <color rgb="FF000000"/>
      <name val="Times New Roman"/>
      <family val="1"/>
    </font>
    <font>
      <sz val="11"/>
      <color indexed="8"/>
      <name val="Calibri"/>
      <family val="2"/>
    </font>
    <font>
      <sz val="10"/>
      <color indexed="8"/>
      <name val="Arial"/>
      <family val="2"/>
    </font>
    <font>
      <b/>
      <sz val="9"/>
      <color theme="1"/>
      <name val="Times New Roman"/>
      <family val="1"/>
    </font>
    <font>
      <sz val="8"/>
      <color theme="1"/>
      <name val="Times New Roman"/>
      <family val="1"/>
    </font>
    <font>
      <sz val="10"/>
      <color indexed="8"/>
      <name val="Times New Roman"/>
      <family val="1"/>
    </font>
    <font>
      <b/>
      <sz val="10"/>
      <color theme="1"/>
      <name val="Times New Roman"/>
      <family val="1"/>
    </font>
    <font>
      <i/>
      <sz val="11"/>
      <color theme="1"/>
      <name val="Times New Roman"/>
      <family val="1"/>
    </font>
    <font>
      <i/>
      <sz val="12"/>
      <name val="Times New Roman"/>
      <family val="1"/>
    </font>
    <font>
      <i/>
      <sz val="12"/>
      <color theme="1"/>
      <name val="Times New Roman"/>
      <family val="1"/>
    </font>
    <font>
      <b/>
      <u/>
      <sz val="11"/>
      <color theme="1"/>
      <name val="Times New Roman"/>
      <family val="1"/>
    </font>
    <font>
      <b/>
      <sz val="11"/>
      <color indexed="8"/>
      <name val="Times New Roman"/>
      <family val="1"/>
    </font>
    <font>
      <sz val="11"/>
      <color indexed="8"/>
      <name val="Times New Roman"/>
      <family val="1"/>
    </font>
    <font>
      <i/>
      <sz val="11"/>
      <color indexed="8"/>
      <name val="Times New Roman"/>
      <family val="1"/>
    </font>
    <font>
      <sz val="10"/>
      <color theme="1"/>
      <name val="Times New Roman"/>
      <family val="1"/>
    </font>
    <font>
      <u/>
      <sz val="11"/>
      <color theme="10"/>
      <name val="Times New Roman"/>
      <family val="1"/>
    </font>
    <font>
      <sz val="11"/>
      <name val="Times New Roman"/>
      <family val="1"/>
    </font>
    <font>
      <sz val="11"/>
      <color rgb="FF000000"/>
      <name val="Times New Roman"/>
      <family val="1"/>
    </font>
    <font>
      <sz val="9"/>
      <color theme="1"/>
      <name val="Times New Roman"/>
      <family val="1"/>
    </font>
    <font>
      <sz val="9"/>
      <color rgb="FF000000"/>
      <name val="Times New Roman"/>
      <family val="1"/>
    </font>
    <font>
      <b/>
      <sz val="9"/>
      <color rgb="FF000000"/>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0"/>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s>
  <cellStyleXfs count="5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2" fillId="0" borderId="0" applyNumberFormat="0" applyFill="0" applyBorder="0" applyAlignment="0" applyProtection="0"/>
    <xf numFmtId="43" fontId="18" fillId="0" borderId="0" applyFont="0" applyFill="0" applyBorder="0" applyAlignment="0" applyProtection="0"/>
    <xf numFmtId="0" fontId="28" fillId="0" borderId="0"/>
    <xf numFmtId="0" fontId="32" fillId="0" borderId="0"/>
    <xf numFmtId="0" fontId="36" fillId="0" borderId="0"/>
    <xf numFmtId="0" fontId="44" fillId="0" borderId="0"/>
  </cellStyleXfs>
  <cellXfs count="754">
    <xf numFmtId="0" fontId="0" fillId="0" borderId="0" xfId="0"/>
    <xf numFmtId="0" fontId="16" fillId="0" borderId="0" xfId="0" applyFont="1"/>
    <xf numFmtId="0" fontId="0" fillId="0" borderId="0" xfId="0"/>
    <xf numFmtId="0" fontId="0" fillId="0" borderId="0" xfId="0" applyFont="1"/>
    <xf numFmtId="0" fontId="0" fillId="0" borderId="0" xfId="0"/>
    <xf numFmtId="0" fontId="0" fillId="0" borderId="10" xfId="0" applyBorder="1"/>
    <xf numFmtId="3" fontId="0" fillId="0" borderId="0" xfId="0" applyNumberFormat="1"/>
    <xf numFmtId="0" fontId="16" fillId="0" borderId="0" xfId="0" applyFont="1" applyAlignment="1">
      <alignment horizontal="center" vertical="center" wrapText="1"/>
    </xf>
    <xf numFmtId="0" fontId="16" fillId="0" borderId="0" xfId="0" applyFont="1" applyFill="1" applyAlignment="1">
      <alignment horizontal="center" vertical="center" wrapText="1"/>
    </xf>
    <xf numFmtId="3" fontId="0" fillId="0" borderId="0" xfId="0" applyNumberFormat="1" applyFill="1"/>
    <xf numFmtId="0" fontId="0" fillId="0" borderId="0" xfId="0" applyFill="1"/>
    <xf numFmtId="3" fontId="0" fillId="0" borderId="0" xfId="0" applyNumberFormat="1" applyBorder="1"/>
    <xf numFmtId="0" fontId="20" fillId="0" borderId="0" xfId="0" applyFont="1"/>
    <xf numFmtId="0" fontId="21" fillId="0" borderId="20" xfId="0" applyFont="1" applyBorder="1" applyAlignment="1">
      <alignment horizontal="right" vertical="center"/>
    </xf>
    <xf numFmtId="0" fontId="21" fillId="0" borderId="21" xfId="0" applyFont="1" applyBorder="1" applyAlignment="1">
      <alignment horizontal="center" vertical="center"/>
    </xf>
    <xf numFmtId="0" fontId="20" fillId="0" borderId="22" xfId="0" applyFont="1" applyBorder="1"/>
    <xf numFmtId="165" fontId="20" fillId="0" borderId="23" xfId="0" applyNumberFormat="1" applyFont="1" applyBorder="1"/>
    <xf numFmtId="0" fontId="20" fillId="0" borderId="22" xfId="0" applyFont="1" applyBorder="1" applyAlignment="1">
      <alignment horizontal="right"/>
    </xf>
    <xf numFmtId="165" fontId="20" fillId="0" borderId="23" xfId="0" applyNumberFormat="1" applyFont="1" applyBorder="1" applyAlignment="1">
      <alignment horizontal="right"/>
    </xf>
    <xf numFmtId="0" fontId="20" fillId="0" borderId="24" xfId="0" applyFont="1" applyBorder="1" applyAlignment="1">
      <alignment horizontal="right"/>
    </xf>
    <xf numFmtId="165" fontId="20" fillId="0" borderId="25" xfId="0" applyNumberFormat="1" applyFont="1" applyBorder="1" applyAlignment="1">
      <alignment horizontal="right"/>
    </xf>
    <xf numFmtId="17" fontId="20" fillId="0" borderId="20" xfId="0" applyNumberFormat="1" applyFont="1" applyBorder="1"/>
    <xf numFmtId="0" fontId="20" fillId="0" borderId="21" xfId="0" applyFont="1" applyBorder="1"/>
    <xf numFmtId="17" fontId="20" fillId="0" borderId="22" xfId="0" applyNumberFormat="1" applyFont="1" applyBorder="1"/>
    <xf numFmtId="0" fontId="20" fillId="0" borderId="23" xfId="0" applyFont="1" applyBorder="1"/>
    <xf numFmtId="17" fontId="20" fillId="0" borderId="24" xfId="0" applyNumberFormat="1" applyFont="1" applyBorder="1"/>
    <xf numFmtId="0" fontId="20" fillId="0" borderId="25" xfId="0" applyFont="1" applyBorder="1"/>
    <xf numFmtId="166" fontId="0" fillId="0" borderId="0" xfId="0" applyNumberFormat="1"/>
    <xf numFmtId="167" fontId="0" fillId="0" borderId="0" xfId="0" applyNumberFormat="1"/>
    <xf numFmtId="167" fontId="0" fillId="0" borderId="0" xfId="0" applyNumberFormat="1" applyBorder="1"/>
    <xf numFmtId="166" fontId="0" fillId="0" borderId="0" xfId="0" applyNumberFormat="1" applyBorder="1"/>
    <xf numFmtId="0" fontId="0" fillId="0" borderId="0" xfId="0" applyBorder="1"/>
    <xf numFmtId="0" fontId="16" fillId="0" borderId="0" xfId="0" applyFont="1" applyBorder="1" applyAlignment="1">
      <alignment horizontal="center" vertical="center" wrapText="1"/>
    </xf>
    <xf numFmtId="0" fontId="16" fillId="0" borderId="0" xfId="0" applyFont="1" applyBorder="1"/>
    <xf numFmtId="167" fontId="16" fillId="0" borderId="27" xfId="0" applyNumberFormat="1" applyFont="1" applyBorder="1"/>
    <xf numFmtId="164" fontId="0" fillId="0" borderId="10" xfId="2" applyNumberFormat="1" applyFont="1" applyBorder="1"/>
    <xf numFmtId="0" fontId="16" fillId="0" borderId="26" xfId="0" applyFont="1" applyBorder="1"/>
    <xf numFmtId="167" fontId="16" fillId="0" borderId="26" xfId="0" applyNumberFormat="1" applyFont="1" applyBorder="1"/>
    <xf numFmtId="3" fontId="0" fillId="0" borderId="10" xfId="0" applyNumberFormat="1" applyBorder="1"/>
    <xf numFmtId="0" fontId="16" fillId="0" borderId="22" xfId="0" applyFont="1" applyBorder="1" applyAlignment="1">
      <alignment horizontal="center" vertical="center" wrapText="1"/>
    </xf>
    <xf numFmtId="3" fontId="16" fillId="0" borderId="23" xfId="0" applyNumberFormat="1" applyFont="1" applyBorder="1" applyAlignment="1">
      <alignment horizontal="center" vertical="center" wrapText="1"/>
    </xf>
    <xf numFmtId="0" fontId="0" fillId="0" borderId="22" xfId="0" applyBorder="1"/>
    <xf numFmtId="3" fontId="0" fillId="0" borderId="23" xfId="0" applyNumberFormat="1" applyBorder="1"/>
    <xf numFmtId="0" fontId="0" fillId="0" borderId="23" xfId="0" applyBorder="1"/>
    <xf numFmtId="0" fontId="0" fillId="0" borderId="24" xfId="0" applyBorder="1"/>
    <xf numFmtId="0" fontId="16" fillId="0" borderId="23" xfId="0" applyFont="1" applyBorder="1" applyAlignment="1">
      <alignment horizontal="center" vertical="center" wrapText="1"/>
    </xf>
    <xf numFmtId="3" fontId="0" fillId="0" borderId="10" xfId="0" applyNumberFormat="1" applyBorder="1" applyAlignment="1">
      <alignment wrapText="1"/>
    </xf>
    <xf numFmtId="166" fontId="0" fillId="0" borderId="10" xfId="0" applyNumberFormat="1" applyBorder="1"/>
    <xf numFmtId="167" fontId="0" fillId="0" borderId="10" xfId="0" applyNumberFormat="1" applyBorder="1"/>
    <xf numFmtId="3" fontId="16" fillId="0" borderId="10" xfId="0" applyNumberFormat="1" applyFont="1" applyFill="1" applyBorder="1" applyAlignment="1">
      <alignment horizontal="center" vertical="center" wrapText="1"/>
    </xf>
    <xf numFmtId="3" fontId="0" fillId="0" borderId="10" xfId="0" applyNumberFormat="1" applyFill="1" applyBorder="1"/>
    <xf numFmtId="0" fontId="16" fillId="0" borderId="20" xfId="0" applyFont="1" applyBorder="1" applyAlignment="1">
      <alignment horizontal="center" vertical="center" wrapText="1"/>
    </xf>
    <xf numFmtId="0" fontId="16" fillId="0" borderId="43" xfId="0" applyFont="1" applyBorder="1"/>
    <xf numFmtId="0" fontId="16" fillId="0" borderId="34" xfId="0" applyFont="1" applyBorder="1" applyAlignment="1">
      <alignment horizontal="center" vertical="center" wrapText="1"/>
    </xf>
    <xf numFmtId="0" fontId="16" fillId="0" borderId="46" xfId="0" applyFont="1" applyBorder="1" applyAlignment="1">
      <alignment horizontal="center" vertical="center" wrapText="1"/>
    </xf>
    <xf numFmtId="167" fontId="0" fillId="0" borderId="29" xfId="0" applyNumberFormat="1" applyBorder="1"/>
    <xf numFmtId="0" fontId="16" fillId="0" borderId="41" xfId="0" applyFont="1" applyBorder="1" applyAlignment="1">
      <alignment horizontal="center" vertical="center" wrapText="1"/>
    </xf>
    <xf numFmtId="167" fontId="0" fillId="0" borderId="42" xfId="0" applyNumberFormat="1" applyBorder="1"/>
    <xf numFmtId="167" fontId="0" fillId="0" borderId="44" xfId="0" applyNumberFormat="1" applyBorder="1"/>
    <xf numFmtId="166" fontId="0" fillId="0" borderId="0" xfId="0" applyNumberFormat="1" applyFill="1" applyBorder="1"/>
    <xf numFmtId="168" fontId="0" fillId="0" borderId="10" xfId="0" applyNumberFormat="1" applyBorder="1"/>
    <xf numFmtId="170" fontId="0" fillId="0" borderId="10" xfId="0" applyNumberFormat="1" applyBorder="1"/>
    <xf numFmtId="167" fontId="0" fillId="0" borderId="47" xfId="0" applyNumberFormat="1" applyBorder="1"/>
    <xf numFmtId="167" fontId="0" fillId="0" borderId="11" xfId="0" applyNumberFormat="1" applyBorder="1"/>
    <xf numFmtId="173" fontId="0" fillId="0" borderId="0" xfId="2" applyNumberFormat="1" applyFont="1"/>
    <xf numFmtId="0" fontId="16" fillId="0" borderId="0" xfId="0" applyFont="1" applyFill="1"/>
    <xf numFmtId="167" fontId="0" fillId="0" borderId="0" xfId="0" applyNumberFormat="1" applyFill="1"/>
    <xf numFmtId="0" fontId="0" fillId="0" borderId="10" xfId="0" applyFill="1" applyBorder="1"/>
    <xf numFmtId="0" fontId="16" fillId="0" borderId="10" xfId="0" applyFont="1" applyFill="1" applyBorder="1"/>
    <xf numFmtId="0" fontId="16" fillId="0" borderId="22" xfId="0" applyFont="1" applyFill="1" applyBorder="1" applyAlignment="1">
      <alignment horizontal="center" vertical="center" wrapText="1"/>
    </xf>
    <xf numFmtId="0" fontId="0" fillId="0" borderId="22" xfId="0" applyFill="1" applyBorder="1"/>
    <xf numFmtId="0" fontId="16" fillId="0" borderId="22" xfId="0" applyFont="1" applyFill="1" applyBorder="1"/>
    <xf numFmtId="0" fontId="16" fillId="0" borderId="23" xfId="0" applyFont="1" applyFill="1" applyBorder="1" applyAlignment="1">
      <alignment horizontal="center" vertical="center" wrapText="1"/>
    </xf>
    <xf numFmtId="0" fontId="0" fillId="0" borderId="23" xfId="0" applyFill="1" applyBorder="1"/>
    <xf numFmtId="0" fontId="16" fillId="0" borderId="23" xfId="0" applyFont="1" applyFill="1" applyBorder="1"/>
    <xf numFmtId="0" fontId="16" fillId="0" borderId="43" xfId="0" applyFont="1" applyFill="1" applyBorder="1"/>
    <xf numFmtId="0" fontId="16" fillId="0" borderId="44" xfId="0" applyFont="1" applyFill="1" applyBorder="1"/>
    <xf numFmtId="167" fontId="16" fillId="0" borderId="44" xfId="0" applyNumberFormat="1" applyFont="1" applyFill="1" applyBorder="1"/>
    <xf numFmtId="167" fontId="16" fillId="0" borderId="47" xfId="0" applyNumberFormat="1" applyFont="1" applyFill="1" applyBorder="1"/>
    <xf numFmtId="167" fontId="16" fillId="0" borderId="45" xfId="0" applyNumberFormat="1" applyFont="1" applyFill="1" applyBorder="1"/>
    <xf numFmtId="167" fontId="16" fillId="0" borderId="11" xfId="0" applyNumberFormat="1" applyFont="1" applyFill="1" applyBorder="1"/>
    <xf numFmtId="3" fontId="16" fillId="0" borderId="0" xfId="0" applyNumberFormat="1" applyFont="1" applyBorder="1"/>
    <xf numFmtId="172" fontId="0" fillId="0" borderId="22" xfId="0" applyNumberFormat="1" applyFill="1" applyBorder="1"/>
    <xf numFmtId="172" fontId="0" fillId="0" borderId="10" xfId="0" applyNumberFormat="1" applyFill="1" applyBorder="1"/>
    <xf numFmtId="172" fontId="0" fillId="0" borderId="23" xfId="0" applyNumberFormat="1" applyFill="1" applyBorder="1"/>
    <xf numFmtId="166" fontId="16" fillId="0" borderId="10" xfId="0" applyNumberFormat="1" applyFont="1" applyBorder="1" applyAlignment="1">
      <alignment horizontal="center" vertical="center" wrapText="1"/>
    </xf>
    <xf numFmtId="166" fontId="0" fillId="0" borderId="10" xfId="0" applyNumberFormat="1" applyFill="1" applyBorder="1"/>
    <xf numFmtId="167" fontId="0" fillId="0" borderId="10" xfId="0" applyNumberFormat="1" applyFill="1" applyBorder="1"/>
    <xf numFmtId="0" fontId="21" fillId="0" borderId="0" xfId="0" applyFont="1" applyBorder="1" applyAlignment="1">
      <alignment horizontal="center" vertical="center" wrapText="1"/>
    </xf>
    <xf numFmtId="2" fontId="0" fillId="0" borderId="10" xfId="0" applyNumberFormat="1" applyBorder="1"/>
    <xf numFmtId="167" fontId="20" fillId="0" borderId="0" xfId="0" applyNumberFormat="1" applyFont="1"/>
    <xf numFmtId="3" fontId="20" fillId="0" borderId="0" xfId="0" applyNumberFormat="1" applyFont="1"/>
    <xf numFmtId="3" fontId="20" fillId="0" borderId="10" xfId="0" applyNumberFormat="1" applyFont="1" applyBorder="1"/>
    <xf numFmtId="4" fontId="0" fillId="0" borderId="10" xfId="0" applyNumberFormat="1" applyFill="1" applyBorder="1"/>
    <xf numFmtId="167"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0" fontId="16" fillId="0" borderId="20" xfId="0" applyFont="1" applyFill="1" applyBorder="1" applyAlignment="1">
      <alignment horizontal="center" vertical="center" wrapText="1"/>
    </xf>
    <xf numFmtId="2" fontId="0" fillId="0" borderId="10" xfId="0" applyNumberFormat="1" applyFill="1" applyBorder="1"/>
    <xf numFmtId="174" fontId="0" fillId="0" borderId="10" xfId="0" applyNumberFormat="1" applyBorder="1"/>
    <xf numFmtId="1" fontId="0" fillId="0" borderId="10" xfId="0" applyNumberFormat="1" applyBorder="1"/>
    <xf numFmtId="0" fontId="16" fillId="0" borderId="10" xfId="0" applyFont="1" applyFill="1" applyBorder="1" applyAlignment="1">
      <alignment horizontal="center" vertical="center" wrapText="1"/>
    </xf>
    <xf numFmtId="167" fontId="16" fillId="0" borderId="10" xfId="0" applyNumberFormat="1" applyFont="1" applyFill="1" applyBorder="1" applyAlignment="1">
      <alignment horizontal="center" vertical="center" wrapText="1"/>
    </xf>
    <xf numFmtId="0" fontId="0" fillId="0" borderId="0" xfId="0" applyFill="1" applyBorder="1"/>
    <xf numFmtId="3" fontId="0" fillId="0" borderId="0" xfId="0" applyNumberFormat="1" applyFill="1" applyBorder="1"/>
    <xf numFmtId="167" fontId="0" fillId="0" borderId="0" xfId="0" applyNumberFormat="1" applyFill="1" applyBorder="1"/>
    <xf numFmtId="175" fontId="0" fillId="0" borderId="10" xfId="0" applyNumberFormat="1" applyBorder="1"/>
    <xf numFmtId="168" fontId="20" fillId="0" borderId="10" xfId="0" applyNumberFormat="1" applyFont="1" applyFill="1" applyBorder="1"/>
    <xf numFmtId="168" fontId="0" fillId="0" borderId="10" xfId="0" applyNumberFormat="1" applyFill="1" applyBorder="1"/>
    <xf numFmtId="166" fontId="20" fillId="0" borderId="10" xfId="0" applyNumberFormat="1" applyFont="1" applyFill="1" applyBorder="1"/>
    <xf numFmtId="3" fontId="20" fillId="0" borderId="10" xfId="0" applyNumberFormat="1" applyFont="1" applyFill="1" applyBorder="1"/>
    <xf numFmtId="2" fontId="20" fillId="0" borderId="10" xfId="0" applyNumberFormat="1" applyFont="1" applyFill="1" applyBorder="1"/>
    <xf numFmtId="0" fontId="22" fillId="0" borderId="0" xfId="45" applyFill="1"/>
    <xf numFmtId="167" fontId="0" fillId="0" borderId="29" xfId="0" applyNumberFormat="1" applyFill="1" applyBorder="1"/>
    <xf numFmtId="3" fontId="16" fillId="0" borderId="34" xfId="0" applyNumberFormat="1" applyFont="1" applyBorder="1" applyAlignment="1">
      <alignment horizontal="center" vertical="center" wrapText="1"/>
    </xf>
    <xf numFmtId="3" fontId="16" fillId="0" borderId="34" xfId="0" applyNumberFormat="1" applyFont="1" applyFill="1" applyBorder="1" applyAlignment="1">
      <alignment horizontal="center" vertical="center" wrapText="1"/>
    </xf>
    <xf numFmtId="3" fontId="16" fillId="0" borderId="44" xfId="0" applyNumberFormat="1" applyFont="1" applyBorder="1"/>
    <xf numFmtId="3" fontId="16" fillId="0" borderId="45" xfId="0" applyNumberFormat="1" applyFont="1" applyBorder="1"/>
    <xf numFmtId="167" fontId="0" fillId="0" borderId="23" xfId="0" applyNumberFormat="1" applyBorder="1"/>
    <xf numFmtId="0" fontId="16" fillId="0" borderId="44" xfId="0" applyFont="1" applyBorder="1"/>
    <xf numFmtId="167" fontId="16" fillId="0" borderId="47" xfId="0" applyNumberFormat="1" applyFont="1" applyBorder="1"/>
    <xf numFmtId="167" fontId="16" fillId="0" borderId="11" xfId="0" applyNumberFormat="1" applyFont="1" applyBorder="1"/>
    <xf numFmtId="167" fontId="16" fillId="0" borderId="44" xfId="0" applyNumberFormat="1" applyFont="1" applyBorder="1"/>
    <xf numFmtId="167" fontId="0" fillId="0" borderId="23" xfId="0" applyNumberFormat="1" applyFill="1" applyBorder="1"/>
    <xf numFmtId="167" fontId="0" fillId="0" borderId="42" xfId="0" applyNumberFormat="1" applyFill="1" applyBorder="1"/>
    <xf numFmtId="166" fontId="16" fillId="0" borderId="44" xfId="0" applyNumberFormat="1" applyFont="1" applyBorder="1"/>
    <xf numFmtId="167" fontId="16" fillId="0" borderId="23" xfId="0" applyNumberFormat="1" applyFont="1" applyBorder="1" applyAlignment="1">
      <alignment horizontal="center" vertical="center" wrapText="1"/>
    </xf>
    <xf numFmtId="0" fontId="0" fillId="0" borderId="52" xfId="0" applyFill="1" applyBorder="1"/>
    <xf numFmtId="166" fontId="16" fillId="0" borderId="22" xfId="0" applyNumberFormat="1" applyFont="1" applyFill="1" applyBorder="1" applyAlignment="1">
      <alignment horizontal="center" vertical="center" wrapText="1"/>
    </xf>
    <xf numFmtId="167" fontId="16" fillId="0" borderId="23" xfId="0" applyNumberFormat="1" applyFont="1" applyFill="1" applyBorder="1" applyAlignment="1">
      <alignment horizontal="center" vertical="center" wrapText="1"/>
    </xf>
    <xf numFmtId="166" fontId="0" fillId="0" borderId="22" xfId="0" applyNumberFormat="1" applyFill="1" applyBorder="1"/>
    <xf numFmtId="167" fontId="16" fillId="0" borderId="22" xfId="0" applyNumberFormat="1" applyFont="1" applyFill="1" applyBorder="1" applyAlignment="1">
      <alignment horizontal="center" vertical="center" wrapText="1"/>
    </xf>
    <xf numFmtId="167" fontId="16" fillId="0" borderId="22" xfId="0" applyNumberFormat="1" applyFont="1" applyBorder="1" applyAlignment="1">
      <alignment horizontal="center" vertical="center" wrapText="1"/>
    </xf>
    <xf numFmtId="167" fontId="0" fillId="0" borderId="22" xfId="0" applyNumberFormat="1" applyBorder="1"/>
    <xf numFmtId="0" fontId="16" fillId="0" borderId="26" xfId="0" applyFont="1" applyFill="1" applyBorder="1" applyAlignment="1"/>
    <xf numFmtId="166" fontId="16" fillId="0" borderId="43" xfId="0" applyNumberFormat="1" applyFont="1" applyFill="1" applyBorder="1"/>
    <xf numFmtId="3" fontId="16" fillId="0" borderId="44" xfId="0" applyNumberFormat="1" applyFont="1" applyFill="1" applyBorder="1"/>
    <xf numFmtId="167" fontId="16" fillId="0" borderId="45" xfId="0" applyNumberFormat="1" applyFont="1" applyBorder="1"/>
    <xf numFmtId="167" fontId="16" fillId="0" borderId="51" xfId="0" applyNumberFormat="1" applyFont="1" applyBorder="1" applyAlignment="1">
      <alignment horizontal="center" vertical="center" wrapText="1"/>
    </xf>
    <xf numFmtId="167" fontId="0" fillId="0" borderId="30" xfId="0" applyNumberFormat="1" applyBorder="1"/>
    <xf numFmtId="167" fontId="16" fillId="0" borderId="41" xfId="0" applyNumberFormat="1" applyFont="1" applyBorder="1" applyAlignment="1">
      <alignment horizontal="center" vertical="center" wrapText="1"/>
    </xf>
    <xf numFmtId="0" fontId="16" fillId="0" borderId="41" xfId="0" applyFont="1" applyFill="1" applyBorder="1" applyAlignment="1">
      <alignment horizontal="center" vertical="center" wrapText="1"/>
    </xf>
    <xf numFmtId="0" fontId="0" fillId="0" borderId="52" xfId="0" applyBorder="1"/>
    <xf numFmtId="167" fontId="16" fillId="0" borderId="29" xfId="0" applyNumberFormat="1" applyFont="1" applyBorder="1" applyAlignment="1">
      <alignment horizontal="center" vertical="center" wrapText="1"/>
    </xf>
    <xf numFmtId="166" fontId="16" fillId="0" borderId="22" xfId="0" applyNumberFormat="1" applyFont="1" applyBorder="1" applyAlignment="1">
      <alignment horizontal="center" vertical="center" wrapText="1"/>
    </xf>
    <xf numFmtId="166" fontId="0" fillId="0" borderId="22" xfId="0" applyNumberFormat="1" applyBorder="1"/>
    <xf numFmtId="0" fontId="16" fillId="0" borderId="26" xfId="0" applyFont="1" applyBorder="1" applyAlignment="1"/>
    <xf numFmtId="0" fontId="16" fillId="0" borderId="43" xfId="0" applyFont="1" applyBorder="1" applyAlignment="1"/>
    <xf numFmtId="166" fontId="16" fillId="0" borderId="43" xfId="0" applyNumberFormat="1" applyFont="1" applyBorder="1"/>
    <xf numFmtId="167" fontId="16" fillId="0" borderId="43" xfId="0" applyNumberFormat="1" applyFont="1" applyBorder="1"/>
    <xf numFmtId="167" fontId="0" fillId="0" borderId="35" xfId="0" applyNumberFormat="1" applyBorder="1"/>
    <xf numFmtId="167" fontId="0" fillId="0" borderId="25" xfId="0" applyNumberFormat="1" applyBorder="1"/>
    <xf numFmtId="3" fontId="16" fillId="0" borderId="46" xfId="0" applyNumberFormat="1" applyFont="1" applyFill="1" applyBorder="1" applyAlignment="1">
      <alignment horizontal="center" vertical="center" wrapText="1"/>
    </xf>
    <xf numFmtId="3" fontId="21" fillId="0" borderId="34" xfId="0" applyNumberFormat="1" applyFont="1" applyFill="1" applyBorder="1" applyAlignment="1">
      <alignment horizontal="center" vertical="center" wrapText="1"/>
    </xf>
    <xf numFmtId="0" fontId="21" fillId="0" borderId="34" xfId="0" applyFont="1" applyFill="1" applyBorder="1" applyAlignment="1">
      <alignment horizontal="center" vertical="center" wrapText="1"/>
    </xf>
    <xf numFmtId="3" fontId="21" fillId="0" borderId="34" xfId="0" applyNumberFormat="1" applyFont="1" applyBorder="1" applyAlignment="1">
      <alignment horizontal="center" vertical="center" wrapText="1"/>
    </xf>
    <xf numFmtId="167" fontId="21" fillId="0" borderId="34" xfId="0" applyNumberFormat="1" applyFont="1" applyFill="1" applyBorder="1" applyAlignment="1">
      <alignment horizontal="center" vertical="center" wrapText="1"/>
    </xf>
    <xf numFmtId="167" fontId="21" fillId="0" borderId="46" xfId="0" applyNumberFormat="1" applyFont="1" applyBorder="1" applyAlignment="1">
      <alignment horizontal="center" vertical="center" wrapText="1"/>
    </xf>
    <xf numFmtId="167" fontId="20" fillId="0" borderId="29" xfId="0" applyNumberFormat="1" applyFont="1" applyBorder="1"/>
    <xf numFmtId="167" fontId="21" fillId="0" borderId="41" xfId="0" applyNumberFormat="1" applyFont="1" applyBorder="1" applyAlignment="1">
      <alignment horizontal="center" vertical="center" wrapText="1"/>
    </xf>
    <xf numFmtId="167" fontId="20" fillId="0" borderId="42" xfId="0" applyNumberFormat="1" applyFont="1" applyBorder="1"/>
    <xf numFmtId="166" fontId="16" fillId="0" borderId="44" xfId="0" applyNumberFormat="1" applyFont="1" applyFill="1" applyBorder="1"/>
    <xf numFmtId="167" fontId="16" fillId="0" borderId="46" xfId="0" applyNumberFormat="1" applyFont="1" applyBorder="1" applyAlignment="1">
      <alignment horizontal="center" vertical="center" wrapText="1"/>
    </xf>
    <xf numFmtId="3" fontId="16" fillId="0" borderId="31" xfId="0" applyNumberFormat="1" applyFont="1" applyBorder="1" applyAlignment="1">
      <alignment horizontal="center" vertical="center" wrapText="1"/>
    </xf>
    <xf numFmtId="3" fontId="16" fillId="0" borderId="22" xfId="0" applyNumberFormat="1" applyFont="1" applyBorder="1" applyAlignment="1">
      <alignment horizontal="center" vertical="center" wrapText="1"/>
    </xf>
    <xf numFmtId="3" fontId="16" fillId="0" borderId="29" xfId="0" applyNumberFormat="1" applyFont="1" applyBorder="1" applyAlignment="1">
      <alignment horizontal="center" vertical="center" wrapText="1"/>
    </xf>
    <xf numFmtId="3" fontId="0" fillId="0" borderId="29" xfId="0" applyNumberFormat="1" applyBorder="1"/>
    <xf numFmtId="3" fontId="0" fillId="0" borderId="31" xfId="0" applyNumberFormat="1" applyBorder="1"/>
    <xf numFmtId="175" fontId="0" fillId="0" borderId="22" xfId="0" applyNumberFormat="1" applyBorder="1"/>
    <xf numFmtId="175" fontId="0" fillId="0" borderId="23" xfId="0" applyNumberFormat="1" applyBorder="1"/>
    <xf numFmtId="3" fontId="16" fillId="0" borderId="47" xfId="0" applyNumberFormat="1" applyFont="1" applyBorder="1"/>
    <xf numFmtId="3" fontId="16" fillId="0" borderId="43" xfId="0" applyNumberFormat="1" applyFont="1" applyBorder="1"/>
    <xf numFmtId="3" fontId="16" fillId="0" borderId="50" xfId="0" applyNumberFormat="1" applyFont="1" applyBorder="1"/>
    <xf numFmtId="167" fontId="0" fillId="0" borderId="52" xfId="0" applyNumberFormat="1" applyBorder="1"/>
    <xf numFmtId="167" fontId="16" fillId="0" borderId="58" xfId="0" applyNumberFormat="1" applyFont="1" applyBorder="1" applyAlignment="1">
      <alignment horizontal="center" vertical="center" wrapText="1"/>
    </xf>
    <xf numFmtId="167" fontId="16" fillId="0" borderId="59" xfId="0" applyNumberFormat="1" applyFont="1" applyBorder="1" applyAlignment="1">
      <alignment horizontal="center" vertical="center" wrapText="1"/>
    </xf>
    <xf numFmtId="0" fontId="16" fillId="0" borderId="19" xfId="0" applyFont="1" applyBorder="1" applyAlignment="1">
      <alignment horizontal="center" vertical="center" wrapText="1"/>
    </xf>
    <xf numFmtId="176" fontId="20" fillId="0" borderId="0" xfId="1" applyNumberFormat="1" applyFont="1"/>
    <xf numFmtId="171" fontId="0" fillId="0" borderId="0" xfId="0" applyNumberFormat="1"/>
    <xf numFmtId="177" fontId="0" fillId="0" borderId="0" xfId="0" applyNumberFormat="1"/>
    <xf numFmtId="167" fontId="0" fillId="0" borderId="48" xfId="0" applyNumberFormat="1" applyBorder="1"/>
    <xf numFmtId="0" fontId="16" fillId="0" borderId="0" xfId="0" applyFont="1" applyAlignment="1">
      <alignment horizontal="center" vertical="center" wrapText="1"/>
    </xf>
    <xf numFmtId="0" fontId="16" fillId="0" borderId="20" xfId="0" applyFont="1" applyBorder="1" applyAlignment="1">
      <alignment horizontal="center" vertical="center" wrapText="1"/>
    </xf>
    <xf numFmtId="44" fontId="0" fillId="0" borderId="0" xfId="1" applyFont="1" applyFill="1"/>
    <xf numFmtId="0" fontId="16" fillId="0" borderId="34" xfId="0" applyFont="1" applyFill="1" applyBorder="1" applyAlignment="1">
      <alignment horizontal="center" vertical="center" wrapText="1"/>
    </xf>
    <xf numFmtId="0" fontId="16" fillId="0" borderId="20" xfId="0" applyFont="1" applyBorder="1" applyAlignment="1">
      <alignment horizontal="center" vertical="center" wrapText="1"/>
    </xf>
    <xf numFmtId="164" fontId="0" fillId="0" borderId="0" xfId="2" applyNumberFormat="1" applyFont="1"/>
    <xf numFmtId="2" fontId="0" fillId="0" borderId="0" xfId="0" applyNumberFormat="1"/>
    <xf numFmtId="168" fontId="16" fillId="0" borderId="44" xfId="0" applyNumberFormat="1" applyFont="1" applyBorder="1"/>
    <xf numFmtId="0" fontId="16" fillId="0" borderId="46" xfId="0" applyFont="1" applyFill="1" applyBorder="1" applyAlignment="1">
      <alignment horizontal="center" vertical="center" wrapText="1"/>
    </xf>
    <xf numFmtId="0" fontId="25" fillId="34" borderId="0" xfId="0" applyFont="1" applyFill="1" applyAlignment="1">
      <alignment horizontal="justify" vertical="center"/>
    </xf>
    <xf numFmtId="0" fontId="16" fillId="0" borderId="0" xfId="0" applyFont="1" applyAlignment="1">
      <alignment horizontal="center" vertical="center" wrapText="1"/>
    </xf>
    <xf numFmtId="0" fontId="29" fillId="33" borderId="22" xfId="47" applyFont="1" applyFill="1" applyBorder="1" applyAlignment="1">
      <alignment horizontal="left" vertical="top" wrapText="1"/>
    </xf>
    <xf numFmtId="0" fontId="29" fillId="33" borderId="24" xfId="47" applyFont="1" applyFill="1" applyBorder="1" applyAlignment="1">
      <alignment horizontal="left" vertical="top" wrapText="1"/>
    </xf>
    <xf numFmtId="164" fontId="0" fillId="0" borderId="10" xfId="2" applyNumberFormat="1" applyFont="1" applyFill="1" applyBorder="1"/>
    <xf numFmtId="164" fontId="0" fillId="0" borderId="23" xfId="2" applyNumberFormat="1" applyFont="1" applyBorder="1"/>
    <xf numFmtId="164" fontId="0" fillId="0" borderId="35" xfId="2" applyNumberFormat="1" applyFont="1" applyBorder="1"/>
    <xf numFmtId="164" fontId="0" fillId="0" borderId="25" xfId="2" applyNumberFormat="1" applyFont="1" applyBorder="1"/>
    <xf numFmtId="164" fontId="0" fillId="0" borderId="23" xfId="2" applyNumberFormat="1" applyFont="1" applyFill="1" applyBorder="1"/>
    <xf numFmtId="174" fontId="0" fillId="0" borderId="23" xfId="0" applyNumberFormat="1" applyFill="1" applyBorder="1"/>
    <xf numFmtId="174" fontId="0" fillId="0" borderId="10" xfId="2" applyNumberFormat="1" applyFont="1" applyBorder="1"/>
    <xf numFmtId="174" fontId="0" fillId="0" borderId="23" xfId="2" applyNumberFormat="1" applyFont="1" applyFill="1" applyBorder="1"/>
    <xf numFmtId="174" fontId="0" fillId="0" borderId="23" xfId="2" applyNumberFormat="1" applyFont="1" applyBorder="1"/>
    <xf numFmtId="0" fontId="20" fillId="0" borderId="0" xfId="0" applyFont="1" applyBorder="1" applyAlignment="1">
      <alignment horizontal="right"/>
    </xf>
    <xf numFmtId="165" fontId="20" fillId="0" borderId="0" xfId="0" applyNumberFormat="1" applyFont="1" applyBorder="1" applyAlignment="1">
      <alignment horizontal="right"/>
    </xf>
    <xf numFmtId="0" fontId="20" fillId="0" borderId="22" xfId="0" applyFont="1" applyBorder="1" applyAlignment="1">
      <alignment horizontal="right" vertical="center"/>
    </xf>
    <xf numFmtId="3" fontId="0" fillId="0" borderId="10" xfId="0" applyNumberFormat="1" applyFill="1" applyBorder="1" applyAlignment="1">
      <alignment horizontal="right"/>
    </xf>
    <xf numFmtId="174" fontId="0" fillId="0" borderId="10" xfId="2" applyNumberFormat="1" applyFont="1" applyFill="1" applyBorder="1"/>
    <xf numFmtId="164" fontId="0" fillId="0" borderId="35" xfId="2" applyNumberFormat="1" applyFont="1" applyFill="1" applyBorder="1"/>
    <xf numFmtId="174" fontId="0" fillId="0" borderId="10" xfId="0" applyNumberFormat="1" applyFill="1" applyBorder="1"/>
    <xf numFmtId="166" fontId="16" fillId="0" borderId="0" xfId="0" applyNumberFormat="1" applyFont="1" applyAlignment="1">
      <alignment horizontal="center" vertical="center" wrapText="1"/>
    </xf>
    <xf numFmtId="172" fontId="16" fillId="0" borderId="22" xfId="0" applyNumberFormat="1" applyFont="1" applyFill="1" applyBorder="1"/>
    <xf numFmtId="172" fontId="16" fillId="0" borderId="10" xfId="0" applyNumberFormat="1" applyFont="1" applyFill="1" applyBorder="1"/>
    <xf numFmtId="172" fontId="16" fillId="0" borderId="23" xfId="0" applyNumberFormat="1" applyFont="1" applyFill="1" applyBorder="1"/>
    <xf numFmtId="167" fontId="16" fillId="0" borderId="61" xfId="0" applyNumberFormat="1" applyFont="1" applyFill="1" applyBorder="1"/>
    <xf numFmtId="167" fontId="16" fillId="0" borderId="62" xfId="0" applyNumberFormat="1" applyFont="1" applyFill="1" applyBorder="1"/>
    <xf numFmtId="167" fontId="16" fillId="0" borderId="63" xfId="0" applyNumberFormat="1" applyFont="1" applyFill="1" applyBorder="1"/>
    <xf numFmtId="172" fontId="16" fillId="0" borderId="24" xfId="0" applyNumberFormat="1" applyFont="1" applyFill="1" applyBorder="1"/>
    <xf numFmtId="172" fontId="16" fillId="0" borderId="35" xfId="0" applyNumberFormat="1" applyFont="1" applyFill="1" applyBorder="1"/>
    <xf numFmtId="172" fontId="16" fillId="0" borderId="25" xfId="0" applyNumberFormat="1" applyFont="1" applyFill="1" applyBorder="1"/>
    <xf numFmtId="0" fontId="16" fillId="0" borderId="31" xfId="0" applyFont="1" applyFill="1" applyBorder="1" applyAlignment="1">
      <alignment horizontal="center" vertical="center" wrapText="1"/>
    </xf>
    <xf numFmtId="172" fontId="0" fillId="0" borderId="31" xfId="0" applyNumberFormat="1" applyFill="1" applyBorder="1"/>
    <xf numFmtId="172" fontId="16" fillId="0" borderId="31" xfId="0" applyNumberFormat="1" applyFont="1" applyFill="1" applyBorder="1"/>
    <xf numFmtId="172" fontId="16" fillId="0" borderId="64" xfId="0" applyNumberFormat="1" applyFont="1" applyFill="1" applyBorder="1"/>
    <xf numFmtId="0" fontId="16" fillId="0" borderId="61" xfId="0" applyFont="1" applyFill="1" applyBorder="1"/>
    <xf numFmtId="0" fontId="16" fillId="0" borderId="62" xfId="0" applyFont="1" applyFill="1" applyBorder="1"/>
    <xf numFmtId="167" fontId="16" fillId="0" borderId="65" xfId="0" applyNumberFormat="1" applyFont="1" applyFill="1" applyBorder="1"/>
    <xf numFmtId="0" fontId="16" fillId="0" borderId="24" xfId="0" applyFont="1" applyFill="1" applyBorder="1"/>
    <xf numFmtId="0" fontId="16" fillId="0" borderId="35" xfId="0" applyFont="1" applyFill="1" applyBorder="1"/>
    <xf numFmtId="0" fontId="16" fillId="0" borderId="25" xfId="0" applyFont="1" applyFill="1" applyBorder="1"/>
    <xf numFmtId="3" fontId="0" fillId="0" borderId="23" xfId="0" applyNumberFormat="1" applyFill="1" applyBorder="1"/>
    <xf numFmtId="0" fontId="16" fillId="0" borderId="22" xfId="0" applyFont="1" applyBorder="1" applyAlignment="1">
      <alignment horizontal="center" vertical="center" wrapText="1"/>
    </xf>
    <xf numFmtId="0" fontId="0" fillId="0" borderId="22" xfId="0" applyFont="1" applyBorder="1" applyAlignment="1">
      <alignment horizontal="left" vertical="center" wrapText="1"/>
    </xf>
    <xf numFmtId="0" fontId="0" fillId="0" borderId="0" xfId="0" applyAlignment="1">
      <alignment wrapText="1"/>
    </xf>
    <xf numFmtId="0" fontId="16" fillId="0" borderId="0" xfId="0" applyFont="1" applyFill="1" applyBorder="1" applyAlignment="1">
      <alignment horizontal="center" vertical="center" wrapText="1"/>
    </xf>
    <xf numFmtId="0" fontId="16" fillId="0" borderId="29" xfId="0" applyFont="1" applyBorder="1" applyAlignment="1">
      <alignment horizontal="center" vertical="center" wrapText="1"/>
    </xf>
    <xf numFmtId="3" fontId="0" fillId="0" borderId="29" xfId="0" applyNumberFormat="1" applyFill="1" applyBorder="1"/>
    <xf numFmtId="0" fontId="0" fillId="0" borderId="29" xfId="0" applyBorder="1"/>
    <xf numFmtId="164" fontId="0" fillId="0" borderId="29" xfId="2" applyNumberFormat="1" applyFont="1" applyBorder="1"/>
    <xf numFmtId="164" fontId="0" fillId="0" borderId="68" xfId="2" applyNumberFormat="1" applyFont="1" applyBorder="1"/>
    <xf numFmtId="174" fontId="0" fillId="0" borderId="23" xfId="0" applyNumberFormat="1" applyBorder="1"/>
    <xf numFmtId="164" fontId="0" fillId="0" borderId="22" xfId="2" applyNumberFormat="1" applyFont="1" applyBorder="1"/>
    <xf numFmtId="164" fontId="0" fillId="0" borderId="24" xfId="2" applyNumberFormat="1" applyFont="1" applyBorder="1"/>
    <xf numFmtId="3" fontId="0" fillId="0" borderId="22" xfId="0" applyNumberFormat="1" applyBorder="1"/>
    <xf numFmtId="3" fontId="0" fillId="0" borderId="22" xfId="0" applyNumberFormat="1" applyFill="1" applyBorder="1"/>
    <xf numFmtId="164" fontId="0" fillId="0" borderId="22" xfId="2" applyNumberFormat="1" applyFont="1" applyFill="1" applyBorder="1"/>
    <xf numFmtId="174" fontId="0" fillId="0" borderId="22" xfId="2" applyNumberFormat="1" applyFont="1" applyFill="1" applyBorder="1"/>
    <xf numFmtId="174" fontId="0" fillId="0" borderId="22" xfId="0" applyNumberFormat="1" applyFill="1" applyBorder="1"/>
    <xf numFmtId="2" fontId="0" fillId="0" borderId="29" xfId="0" applyNumberFormat="1" applyBorder="1"/>
    <xf numFmtId="1" fontId="0" fillId="0" borderId="29" xfId="0" applyNumberFormat="1" applyBorder="1"/>
    <xf numFmtId="174" fontId="0" fillId="0" borderId="29" xfId="2" applyNumberFormat="1" applyFont="1" applyBorder="1"/>
    <xf numFmtId="174" fontId="0" fillId="0" borderId="29" xfId="0" applyNumberFormat="1" applyBorder="1"/>
    <xf numFmtId="0" fontId="16" fillId="0" borderId="31" xfId="0" applyFont="1" applyBorder="1" applyAlignment="1">
      <alignment horizontal="center" vertical="center" wrapText="1"/>
    </xf>
    <xf numFmtId="3" fontId="0" fillId="0" borderId="31" xfId="0" applyNumberFormat="1" applyFill="1" applyBorder="1"/>
    <xf numFmtId="164" fontId="0" fillId="0" borderId="31" xfId="2" applyNumberFormat="1" applyFont="1" applyFill="1" applyBorder="1"/>
    <xf numFmtId="174" fontId="0" fillId="0" borderId="31" xfId="2" applyNumberFormat="1" applyFont="1" applyFill="1" applyBorder="1"/>
    <xf numFmtId="164" fontId="0" fillId="0" borderId="31" xfId="2" applyNumberFormat="1" applyFont="1" applyBorder="1"/>
    <xf numFmtId="174" fontId="0" fillId="0" borderId="31" xfId="0" applyNumberFormat="1" applyFill="1" applyBorder="1"/>
    <xf numFmtId="0" fontId="0" fillId="0" borderId="31" xfId="0" applyBorder="1"/>
    <xf numFmtId="164" fontId="0" fillId="0" borderId="64" xfId="2" applyNumberFormat="1" applyFont="1" applyBorder="1"/>
    <xf numFmtId="174" fontId="0" fillId="0" borderId="22" xfId="2" applyNumberFormat="1" applyFont="1" applyBorder="1"/>
    <xf numFmtId="174" fontId="0" fillId="0" borderId="22" xfId="0" applyNumberFormat="1" applyBorder="1"/>
    <xf numFmtId="0" fontId="31" fillId="36" borderId="69" xfId="48" applyFont="1" applyFill="1" applyBorder="1" applyAlignment="1">
      <alignment horizontal="center"/>
    </xf>
    <xf numFmtId="0" fontId="31" fillId="36" borderId="69" xfId="48" applyFont="1" applyFill="1" applyBorder="1" applyAlignment="1">
      <alignment horizontal="center" vertical="center"/>
    </xf>
    <xf numFmtId="0" fontId="0" fillId="0" borderId="0" xfId="0" applyAlignment="1">
      <alignment horizontal="center" vertical="center"/>
    </xf>
    <xf numFmtId="0" fontId="31" fillId="0" borderId="70" xfId="48" applyFont="1" applyFill="1" applyBorder="1" applyAlignment="1">
      <alignment horizontal="center" vertical="center" wrapText="1"/>
    </xf>
    <xf numFmtId="0" fontId="31" fillId="0" borderId="0" xfId="48" applyFont="1" applyFill="1" applyBorder="1" applyAlignment="1">
      <alignment horizontal="center" vertical="center"/>
    </xf>
    <xf numFmtId="0" fontId="33" fillId="0" borderId="70" xfId="48" applyFont="1" applyFill="1" applyBorder="1" applyAlignment="1">
      <alignment horizontal="center" vertical="center" wrapText="1"/>
    </xf>
    <xf numFmtId="0" fontId="33" fillId="0" borderId="70" xfId="48" applyFont="1" applyFill="1" applyBorder="1" applyAlignment="1">
      <alignment horizontal="right" wrapText="1"/>
    </xf>
    <xf numFmtId="3" fontId="31" fillId="0" borderId="70" xfId="48" applyNumberFormat="1" applyFont="1" applyFill="1" applyBorder="1" applyAlignment="1">
      <alignment horizontal="right" wrapText="1"/>
    </xf>
    <xf numFmtId="3" fontId="33" fillId="0" borderId="70" xfId="48" applyNumberFormat="1" applyFont="1" applyFill="1" applyBorder="1" applyAlignment="1">
      <alignment horizontal="right" wrapText="1"/>
    </xf>
    <xf numFmtId="3" fontId="34" fillId="0" borderId="0" xfId="48" applyNumberFormat="1" applyFont="1"/>
    <xf numFmtId="3" fontId="19" fillId="0" borderId="70" xfId="48" applyNumberFormat="1" applyFont="1" applyFill="1" applyBorder="1" applyAlignment="1">
      <alignment horizontal="right" wrapText="1"/>
    </xf>
    <xf numFmtId="3" fontId="35" fillId="0" borderId="0" xfId="48" applyNumberFormat="1" applyFont="1"/>
    <xf numFmtId="3" fontId="16" fillId="0" borderId="10" xfId="0" applyNumberFormat="1" applyFont="1" applyFill="1" applyBorder="1"/>
    <xf numFmtId="3" fontId="16" fillId="0" borderId="23" xfId="0" applyNumberFormat="1" applyFont="1" applyFill="1" applyBorder="1"/>
    <xf numFmtId="0" fontId="36" fillId="0" borderId="39" xfId="49" applyFont="1" applyFill="1" applyBorder="1" applyAlignment="1">
      <alignment horizontal="left" vertical="top" wrapText="1"/>
    </xf>
    <xf numFmtId="0" fontId="36" fillId="0" borderId="32" xfId="49" applyFont="1" applyFill="1" applyBorder="1" applyAlignment="1">
      <alignment horizontal="left" vertical="top" wrapText="1"/>
    </xf>
    <xf numFmtId="0" fontId="40" fillId="0" borderId="40" xfId="49" applyFont="1" applyFill="1" applyBorder="1" applyAlignment="1">
      <alignment horizontal="left" vertical="top" wrapText="1"/>
    </xf>
    <xf numFmtId="0" fontId="36" fillId="0" borderId="52" xfId="49" applyFont="1" applyFill="1" applyBorder="1" applyAlignment="1">
      <alignment vertical="top" wrapText="1"/>
    </xf>
    <xf numFmtId="0" fontId="36" fillId="0" borderId="30" xfId="49" applyFont="1" applyFill="1" applyBorder="1" applyAlignment="1">
      <alignment vertical="top" wrapText="1"/>
    </xf>
    <xf numFmtId="44" fontId="36" fillId="0" borderId="73" xfId="49" applyNumberFormat="1" applyFont="1" applyFill="1" applyBorder="1" applyAlignment="1">
      <alignment vertical="top" wrapText="1"/>
    </xf>
    <xf numFmtId="44" fontId="40" fillId="0" borderId="74" xfId="49" applyNumberFormat="1" applyFont="1" applyFill="1" applyBorder="1" applyAlignment="1">
      <alignment vertical="top" wrapText="1"/>
    </xf>
    <xf numFmtId="0" fontId="36" fillId="0" borderId="20" xfId="49" applyFont="1" applyFill="1" applyBorder="1" applyAlignment="1">
      <alignment horizontal="left" vertical="top" wrapText="1"/>
    </xf>
    <xf numFmtId="0" fontId="36" fillId="0" borderId="34" xfId="49" applyFont="1" applyFill="1" applyBorder="1" applyAlignment="1">
      <alignment horizontal="left" vertical="top" wrapText="1"/>
    </xf>
    <xf numFmtId="0" fontId="40" fillId="0" borderId="21" xfId="49" applyFont="1" applyFill="1" applyBorder="1" applyAlignment="1">
      <alignment horizontal="left" vertical="top" wrapText="1"/>
    </xf>
    <xf numFmtId="0" fontId="36" fillId="0" borderId="22" xfId="49" applyFont="1" applyFill="1" applyBorder="1" applyAlignment="1">
      <alignment horizontal="left" vertical="top" wrapText="1"/>
    </xf>
    <xf numFmtId="0" fontId="36" fillId="0" borderId="10" xfId="49" applyFont="1" applyFill="1" applyBorder="1" applyAlignment="1">
      <alignment horizontal="left" vertical="top" wrapText="1"/>
    </xf>
    <xf numFmtId="3" fontId="36" fillId="0" borderId="10" xfId="49" applyNumberFormat="1" applyFont="1" applyFill="1" applyBorder="1" applyAlignment="1">
      <alignment horizontal="right" vertical="center" wrapText="1"/>
    </xf>
    <xf numFmtId="179" fontId="36" fillId="0" borderId="10" xfId="49" applyNumberFormat="1" applyFont="1" applyFill="1" applyBorder="1" applyAlignment="1">
      <alignment horizontal="right" vertical="center" wrapText="1"/>
    </xf>
    <xf numFmtId="44" fontId="36" fillId="0" borderId="23" xfId="49" applyNumberFormat="1" applyFont="1" applyFill="1" applyBorder="1" applyAlignment="1">
      <alignment horizontal="left" vertical="top" wrapText="1"/>
    </xf>
    <xf numFmtId="180" fontId="36" fillId="0" borderId="10" xfId="49" applyNumberFormat="1" applyFont="1" applyFill="1" applyBorder="1" applyAlignment="1">
      <alignment horizontal="right" vertical="center" wrapText="1"/>
    </xf>
    <xf numFmtId="181" fontId="36" fillId="0" borderId="10" xfId="49" applyNumberFormat="1" applyFont="1" applyFill="1" applyBorder="1" applyAlignment="1">
      <alignment horizontal="right" vertical="center" wrapText="1"/>
    </xf>
    <xf numFmtId="179" fontId="36" fillId="0" borderId="10" xfId="49" applyNumberFormat="1" applyFont="1" applyFill="1" applyBorder="1" applyAlignment="1">
      <alignment horizontal="right" vertical="top" wrapText="1"/>
    </xf>
    <xf numFmtId="182" fontId="36" fillId="0" borderId="10" xfId="49" applyNumberFormat="1" applyFont="1" applyFill="1" applyBorder="1" applyAlignment="1">
      <alignment horizontal="right" vertical="center" wrapText="1"/>
    </xf>
    <xf numFmtId="44" fontId="36" fillId="0" borderId="23" xfId="49" applyNumberFormat="1" applyFont="1" applyFill="1" applyBorder="1" applyAlignment="1">
      <alignment horizontal="right" vertical="center" wrapText="1"/>
    </xf>
    <xf numFmtId="179" fontId="36" fillId="0" borderId="10" xfId="49" applyNumberFormat="1" applyFont="1" applyFill="1" applyBorder="1" applyAlignment="1">
      <alignment vertical="center" wrapText="1"/>
    </xf>
    <xf numFmtId="44" fontId="36" fillId="0" borderId="23" xfId="49" applyNumberFormat="1" applyFont="1" applyFill="1" applyBorder="1" applyAlignment="1">
      <alignment vertical="center" wrapText="1"/>
    </xf>
    <xf numFmtId="44" fontId="36" fillId="0" borderId="10" xfId="49" applyNumberFormat="1" applyFont="1" applyFill="1" applyBorder="1" applyAlignment="1">
      <alignment horizontal="right" vertical="center" wrapText="1"/>
    </xf>
    <xf numFmtId="0" fontId="36" fillId="34" borderId="25" xfId="49" applyFont="1" applyFill="1" applyBorder="1" applyAlignment="1">
      <alignment horizontal="left" vertical="top" wrapText="1"/>
    </xf>
    <xf numFmtId="44" fontId="40" fillId="0" borderId="21" xfId="49" applyNumberFormat="1" applyFont="1" applyFill="1" applyBorder="1" applyAlignment="1">
      <alignment horizontal="left" vertical="top" wrapText="1"/>
    </xf>
    <xf numFmtId="44" fontId="40" fillId="0" borderId="23" xfId="49" applyNumberFormat="1" applyFont="1" applyFill="1" applyBorder="1" applyAlignment="1">
      <alignment horizontal="left" vertical="top" wrapText="1"/>
    </xf>
    <xf numFmtId="44" fontId="42" fillId="0" borderId="45" xfId="49" applyNumberFormat="1" applyFont="1" applyFill="1" applyBorder="1" applyAlignment="1">
      <alignment horizontal="left" vertical="top"/>
    </xf>
    <xf numFmtId="44" fontId="40" fillId="0" borderId="45" xfId="49" applyNumberFormat="1" applyFont="1" applyFill="1" applyBorder="1" applyAlignment="1">
      <alignment horizontal="left" vertical="top" wrapText="1"/>
    </xf>
    <xf numFmtId="0" fontId="27" fillId="0" borderId="10" xfId="0" applyFont="1" applyBorder="1" applyAlignment="1">
      <alignment horizontal="center" vertical="center" wrapText="1"/>
    </xf>
    <xf numFmtId="0" fontId="25" fillId="0" borderId="10" xfId="0" applyFont="1" applyBorder="1" applyAlignment="1">
      <alignment horizontal="center" vertical="center" wrapText="1"/>
    </xf>
    <xf numFmtId="3" fontId="25" fillId="0" borderId="10" xfId="0" applyNumberFormat="1" applyFont="1" applyBorder="1" applyAlignment="1">
      <alignment horizontal="center" vertical="center" wrapText="1"/>
    </xf>
    <xf numFmtId="166" fontId="25" fillId="0" borderId="10" xfId="0" applyNumberFormat="1" applyFont="1" applyBorder="1" applyAlignment="1">
      <alignment horizontal="center" vertical="center" wrapText="1"/>
    </xf>
    <xf numFmtId="167" fontId="27" fillId="0" borderId="10" xfId="0" applyNumberFormat="1" applyFont="1" applyBorder="1" applyAlignment="1">
      <alignment horizontal="center" vertical="center" wrapText="1"/>
    </xf>
    <xf numFmtId="10" fontId="0" fillId="0" borderId="0" xfId="2" applyNumberFormat="1" applyFont="1"/>
    <xf numFmtId="0" fontId="27" fillId="0" borderId="10" xfId="0" applyFont="1" applyFill="1" applyBorder="1" applyAlignment="1">
      <alignment horizontal="center" vertical="center" wrapText="1"/>
    </xf>
    <xf numFmtId="167" fontId="25" fillId="0" borderId="10" xfId="0" applyNumberFormat="1" applyFont="1" applyFill="1" applyBorder="1" applyAlignment="1">
      <alignment horizontal="center" vertical="center" wrapText="1"/>
    </xf>
    <xf numFmtId="0" fontId="0" fillId="0" borderId="10" xfId="0" applyNumberFormat="1" applyBorder="1"/>
    <xf numFmtId="0" fontId="0" fillId="0" borderId="29" xfId="0" applyNumberFormat="1" applyBorder="1"/>
    <xf numFmtId="0" fontId="0" fillId="0" borderId="10" xfId="2" applyNumberFormat="1" applyFont="1" applyBorder="1"/>
    <xf numFmtId="10" fontId="0" fillId="0" borderId="10" xfId="2" applyNumberFormat="1" applyFont="1" applyBorder="1"/>
    <xf numFmtId="0" fontId="0" fillId="0" borderId="29" xfId="2" applyNumberFormat="1" applyFont="1" applyBorder="1"/>
    <xf numFmtId="10" fontId="0" fillId="0" borderId="29" xfId="2" applyNumberFormat="1" applyFont="1" applyBorder="1"/>
    <xf numFmtId="10" fontId="0" fillId="0" borderId="35" xfId="2" applyNumberFormat="1" applyFont="1" applyBorder="1"/>
    <xf numFmtId="10" fontId="0" fillId="0" borderId="68" xfId="2" applyNumberFormat="1" applyFont="1" applyBorder="1"/>
    <xf numFmtId="0" fontId="0" fillId="0" borderId="22" xfId="0" applyFont="1" applyFill="1" applyBorder="1" applyAlignment="1">
      <alignment horizontal="left" vertical="center" wrapText="1"/>
    </xf>
    <xf numFmtId="3" fontId="0" fillId="0" borderId="10" xfId="0" applyNumberFormat="1" applyBorder="1" applyAlignment="1">
      <alignment horizontal="right"/>
    </xf>
    <xf numFmtId="0" fontId="16" fillId="0" borderId="22" xfId="0" applyFont="1" applyBorder="1" applyAlignment="1">
      <alignment horizontal="center" vertical="center" wrapText="1"/>
    </xf>
    <xf numFmtId="3" fontId="19" fillId="0" borderId="0" xfId="48" applyNumberFormat="1" applyFont="1" applyFill="1" applyBorder="1" applyAlignment="1">
      <alignment horizontal="right" wrapText="1"/>
    </xf>
    <xf numFmtId="0" fontId="43" fillId="36" borderId="69" xfId="50" applyFont="1" applyFill="1" applyBorder="1" applyAlignment="1">
      <alignment horizontal="center"/>
    </xf>
    <xf numFmtId="0" fontId="43" fillId="0" borderId="70" xfId="50" applyFont="1" applyFill="1" applyBorder="1" applyAlignment="1">
      <alignment horizontal="right" wrapText="1"/>
    </xf>
    <xf numFmtId="0" fontId="44" fillId="0" borderId="0" xfId="50"/>
    <xf numFmtId="3" fontId="0" fillId="0" borderId="23" xfId="0" applyNumberFormat="1" applyBorder="1" applyAlignment="1">
      <alignment wrapText="1"/>
    </xf>
    <xf numFmtId="3" fontId="0" fillId="0" borderId="22" xfId="0" applyNumberFormat="1" applyBorder="1" applyAlignment="1">
      <alignment wrapText="1"/>
    </xf>
    <xf numFmtId="3" fontId="0" fillId="0" borderId="23" xfId="0" applyNumberFormat="1" applyFill="1" applyBorder="1" applyAlignment="1">
      <alignment wrapText="1"/>
    </xf>
    <xf numFmtId="3" fontId="0" fillId="0" borderId="22" xfId="0" applyNumberFormat="1" applyFill="1" applyBorder="1" applyAlignment="1">
      <alignment wrapText="1"/>
    </xf>
    <xf numFmtId="0" fontId="0" fillId="0" borderId="23" xfId="0" applyBorder="1" applyAlignment="1">
      <alignment wrapText="1"/>
    </xf>
    <xf numFmtId="164" fontId="0" fillId="0" borderId="10" xfId="2" applyNumberFormat="1" applyFont="1" applyBorder="1" applyAlignment="1">
      <alignment wrapText="1"/>
    </xf>
    <xf numFmtId="164" fontId="0" fillId="0" borderId="23" xfId="2" applyNumberFormat="1" applyFont="1" applyFill="1" applyBorder="1" applyAlignment="1">
      <alignment wrapText="1"/>
    </xf>
    <xf numFmtId="164" fontId="0" fillId="0" borderId="22" xfId="2" applyNumberFormat="1" applyFont="1" applyFill="1" applyBorder="1" applyAlignment="1">
      <alignment wrapText="1"/>
    </xf>
    <xf numFmtId="164" fontId="0" fillId="0" borderId="23" xfId="2" applyNumberFormat="1" applyFont="1" applyBorder="1" applyAlignment="1">
      <alignment wrapText="1"/>
    </xf>
    <xf numFmtId="164" fontId="0" fillId="0" borderId="22" xfId="2" applyNumberFormat="1" applyFont="1" applyBorder="1" applyAlignment="1">
      <alignment wrapText="1"/>
    </xf>
    <xf numFmtId="174" fontId="0" fillId="0" borderId="10" xfId="2" applyNumberFormat="1" applyFont="1" applyBorder="1" applyAlignment="1">
      <alignment wrapText="1"/>
    </xf>
    <xf numFmtId="174" fontId="0" fillId="0" borderId="23" xfId="2" applyNumberFormat="1" applyFont="1" applyFill="1" applyBorder="1" applyAlignment="1">
      <alignment wrapText="1"/>
    </xf>
    <xf numFmtId="174" fontId="0" fillId="0" borderId="22" xfId="2" applyNumberFormat="1" applyFont="1" applyFill="1" applyBorder="1" applyAlignment="1">
      <alignment wrapText="1"/>
    </xf>
    <xf numFmtId="174" fontId="0" fillId="0" borderId="22" xfId="2" applyNumberFormat="1" applyFont="1" applyBorder="1" applyAlignment="1">
      <alignment wrapText="1"/>
    </xf>
    <xf numFmtId="0" fontId="0" fillId="0" borderId="10" xfId="0" applyBorder="1" applyAlignment="1">
      <alignment wrapText="1"/>
    </xf>
    <xf numFmtId="174" fontId="0" fillId="0" borderId="23" xfId="0" applyNumberFormat="1" applyFill="1" applyBorder="1" applyAlignment="1">
      <alignment wrapText="1"/>
    </xf>
    <xf numFmtId="174" fontId="0" fillId="0" borderId="22" xfId="0" applyNumberFormat="1" applyFill="1" applyBorder="1" applyAlignment="1">
      <alignment wrapText="1"/>
    </xf>
    <xf numFmtId="0" fontId="0" fillId="0" borderId="22" xfId="0" applyBorder="1" applyAlignment="1">
      <alignment wrapText="1"/>
    </xf>
    <xf numFmtId="1" fontId="0" fillId="0" borderId="23" xfId="0" applyNumberFormat="1" applyBorder="1" applyAlignment="1">
      <alignment wrapText="1"/>
    </xf>
    <xf numFmtId="164" fontId="0" fillId="0" borderId="35" xfId="2" applyNumberFormat="1" applyFont="1" applyBorder="1" applyAlignment="1">
      <alignment wrapText="1"/>
    </xf>
    <xf numFmtId="164" fontId="0" fillId="0" borderId="25" xfId="2" applyNumberFormat="1" applyFont="1" applyBorder="1" applyAlignment="1">
      <alignment wrapText="1"/>
    </xf>
    <xf numFmtId="164" fontId="0" fillId="0" borderId="24" xfId="2" applyNumberFormat="1" applyFont="1" applyBorder="1" applyAlignment="1">
      <alignment wrapText="1"/>
    </xf>
    <xf numFmtId="0" fontId="16" fillId="0" borderId="49" xfId="0" applyFont="1" applyBorder="1" applyAlignment="1">
      <alignment horizontal="center" wrapText="1"/>
    </xf>
    <xf numFmtId="0" fontId="0" fillId="0" borderId="52" xfId="0" applyFont="1" applyBorder="1" applyAlignment="1">
      <alignment horizontal="left" vertical="center" wrapText="1"/>
    </xf>
    <xf numFmtId="0" fontId="29" fillId="33" borderId="52" xfId="47" applyFont="1" applyFill="1" applyBorder="1" applyAlignment="1">
      <alignment horizontal="left" vertical="top" wrapText="1"/>
    </xf>
    <xf numFmtId="0" fontId="29" fillId="33" borderId="71" xfId="47" applyFont="1" applyFill="1" applyBorder="1" applyAlignment="1">
      <alignment horizontal="left" vertical="top" wrapText="1"/>
    </xf>
    <xf numFmtId="174" fontId="0" fillId="0" borderId="23" xfId="0" applyNumberFormat="1" applyBorder="1" applyAlignment="1">
      <alignment wrapText="1"/>
    </xf>
    <xf numFmtId="4" fontId="0" fillId="0" borderId="22" xfId="0" applyNumberFormat="1" applyBorder="1" applyAlignment="1">
      <alignment wrapText="1"/>
    </xf>
    <xf numFmtId="4" fontId="0" fillId="0" borderId="10" xfId="0" applyNumberFormat="1" applyBorder="1" applyAlignment="1">
      <alignment wrapText="1"/>
    </xf>
    <xf numFmtId="4" fontId="0" fillId="0" borderId="23" xfId="0" applyNumberFormat="1" applyFill="1" applyBorder="1" applyAlignment="1">
      <alignment wrapText="1"/>
    </xf>
    <xf numFmtId="4" fontId="0" fillId="0" borderId="23" xfId="0" applyNumberFormat="1" applyBorder="1" applyAlignment="1">
      <alignment wrapText="1"/>
    </xf>
    <xf numFmtId="4" fontId="0" fillId="0" borderId="22" xfId="0" applyNumberFormat="1" applyFill="1" applyBorder="1" applyAlignment="1">
      <alignment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6" fillId="0" borderId="22"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31" xfId="0" applyFont="1" applyBorder="1" applyAlignment="1">
      <alignment horizontal="center" vertical="center" wrapText="1"/>
    </xf>
    <xf numFmtId="0" fontId="25" fillId="0" borderId="52" xfId="0" applyFont="1" applyBorder="1" applyAlignment="1">
      <alignment horizontal="left" vertical="center"/>
    </xf>
    <xf numFmtId="3" fontId="25" fillId="0" borderId="22" xfId="0" applyNumberFormat="1" applyFont="1" applyBorder="1" applyAlignment="1"/>
    <xf numFmtId="3" fontId="25" fillId="0" borderId="10" xfId="0" applyNumberFormat="1" applyFont="1" applyBorder="1" applyAlignment="1"/>
    <xf numFmtId="0" fontId="25" fillId="0" borderId="29" xfId="0" applyFont="1" applyBorder="1" applyAlignment="1"/>
    <xf numFmtId="0" fontId="25" fillId="0" borderId="23" xfId="0" applyFont="1" applyBorder="1" applyAlignment="1"/>
    <xf numFmtId="3" fontId="25" fillId="0" borderId="31" xfId="0" applyNumberFormat="1" applyFont="1" applyBorder="1" applyAlignment="1"/>
    <xf numFmtId="0" fontId="25" fillId="0" borderId="22" xfId="0" applyFont="1" applyBorder="1" applyAlignment="1"/>
    <xf numFmtId="0" fontId="25" fillId="0" borderId="10" xfId="0" applyFont="1" applyBorder="1" applyAlignment="1"/>
    <xf numFmtId="0" fontId="25" fillId="0" borderId="31" xfId="0" applyFont="1" applyBorder="1" applyAlignment="1"/>
    <xf numFmtId="0" fontId="47" fillId="33" borderId="52" xfId="47" applyFont="1" applyFill="1" applyBorder="1" applyAlignment="1">
      <alignment horizontal="left" vertical="top"/>
    </xf>
    <xf numFmtId="0" fontId="47" fillId="33" borderId="71" xfId="47" applyFont="1" applyFill="1" applyBorder="1" applyAlignment="1">
      <alignment horizontal="left" vertical="top"/>
    </xf>
    <xf numFmtId="3" fontId="25" fillId="0" borderId="29" xfId="0" applyNumberFormat="1" applyFont="1" applyBorder="1" applyAlignment="1"/>
    <xf numFmtId="3" fontId="25" fillId="0" borderId="23" xfId="0" applyNumberFormat="1" applyFont="1" applyBorder="1" applyAlignment="1"/>
    <xf numFmtId="167" fontId="25" fillId="0" borderId="22" xfId="0" applyNumberFormat="1" applyFont="1" applyBorder="1" applyAlignment="1"/>
    <xf numFmtId="167" fontId="25" fillId="0" borderId="10" xfId="0" applyNumberFormat="1" applyFont="1" applyBorder="1" applyAlignment="1"/>
    <xf numFmtId="167" fontId="25" fillId="0" borderId="29" xfId="0" applyNumberFormat="1" applyFont="1" applyBorder="1" applyAlignment="1"/>
    <xf numFmtId="167" fontId="25" fillId="0" borderId="23" xfId="0" applyNumberFormat="1" applyFont="1" applyBorder="1" applyAlignment="1"/>
    <xf numFmtId="167" fontId="25" fillId="0" borderId="31" xfId="0" applyNumberFormat="1" applyFont="1" applyBorder="1" applyAlignment="1"/>
    <xf numFmtId="10" fontId="25" fillId="0" borderId="22" xfId="2" applyNumberFormat="1" applyFont="1" applyBorder="1" applyAlignment="1"/>
    <xf numFmtId="10" fontId="25" fillId="0" borderId="10" xfId="2" applyNumberFormat="1" applyFont="1" applyBorder="1" applyAlignment="1"/>
    <xf numFmtId="10" fontId="25" fillId="0" borderId="29" xfId="2" applyNumberFormat="1" applyFont="1" applyBorder="1" applyAlignment="1"/>
    <xf numFmtId="10" fontId="25" fillId="0" borderId="23" xfId="2" applyNumberFormat="1" applyFont="1" applyBorder="1" applyAlignment="1"/>
    <xf numFmtId="10" fontId="25" fillId="0" borderId="31" xfId="2" applyNumberFormat="1" applyFont="1" applyBorder="1" applyAlignment="1"/>
    <xf numFmtId="2" fontId="25" fillId="0" borderId="22" xfId="2" applyNumberFormat="1" applyFont="1" applyBorder="1" applyAlignment="1"/>
    <xf numFmtId="2" fontId="25" fillId="0" borderId="10" xfId="2" applyNumberFormat="1" applyFont="1" applyBorder="1" applyAlignment="1"/>
    <xf numFmtId="2" fontId="25" fillId="0" borderId="29" xfId="2" applyNumberFormat="1" applyFont="1" applyBorder="1" applyAlignment="1"/>
    <xf numFmtId="2" fontId="25" fillId="0" borderId="23" xfId="2" applyNumberFormat="1" applyFont="1" applyBorder="1" applyAlignment="1"/>
    <xf numFmtId="2" fontId="25" fillId="0" borderId="31" xfId="2" applyNumberFormat="1" applyFont="1" applyBorder="1" applyAlignment="1"/>
    <xf numFmtId="10" fontId="25" fillId="0" borderId="24" xfId="2" applyNumberFormat="1" applyFont="1" applyBorder="1" applyAlignment="1"/>
    <xf numFmtId="10" fontId="25" fillId="0" borderId="35" xfId="2" applyNumberFormat="1" applyFont="1" applyBorder="1" applyAlignment="1"/>
    <xf numFmtId="10" fontId="25" fillId="0" borderId="68" xfId="2" applyNumberFormat="1" applyFont="1" applyBorder="1" applyAlignment="1"/>
    <xf numFmtId="10" fontId="25" fillId="0" borderId="25" xfId="2" applyNumberFormat="1" applyFont="1" applyBorder="1" applyAlignment="1"/>
    <xf numFmtId="10" fontId="25" fillId="0" borderId="64" xfId="2" applyNumberFormat="1" applyFont="1" applyBorder="1" applyAlignment="1"/>
    <xf numFmtId="0" fontId="0" fillId="0" borderId="52" xfId="0" applyFont="1" applyFill="1" applyBorder="1" applyAlignment="1">
      <alignment horizontal="left" vertical="center" wrapText="1"/>
    </xf>
    <xf numFmtId="4" fontId="0" fillId="0" borderId="10" xfId="0" applyNumberFormat="1" applyFill="1" applyBorder="1" applyAlignment="1">
      <alignment wrapText="1"/>
    </xf>
    <xf numFmtId="3" fontId="0" fillId="0" borderId="10" xfId="0" applyNumberFormat="1" applyFill="1" applyBorder="1" applyAlignment="1">
      <alignment wrapText="1"/>
    </xf>
    <xf numFmtId="3" fontId="16" fillId="0" borderId="34" xfId="0" applyNumberFormat="1" applyFont="1" applyBorder="1" applyAlignment="1">
      <alignment horizontal="center" vertical="center" wrapText="1"/>
    </xf>
    <xf numFmtId="0" fontId="16" fillId="0" borderId="49" xfId="0" applyFont="1" applyBorder="1" applyAlignment="1">
      <alignment horizontal="center" vertical="center" wrapText="1"/>
    </xf>
    <xf numFmtId="0" fontId="16" fillId="0" borderId="34" xfId="0" applyFont="1" applyFill="1" applyBorder="1" applyAlignment="1">
      <alignment horizontal="center" vertical="center" wrapText="1"/>
    </xf>
    <xf numFmtId="168" fontId="0" fillId="0" borderId="29" xfId="0" applyNumberFormat="1" applyFill="1" applyBorder="1"/>
    <xf numFmtId="3" fontId="0" fillId="0" borderId="32" xfId="0" applyNumberFormat="1" applyFont="1" applyBorder="1" applyAlignment="1">
      <alignment horizontal="right" vertical="center" wrapText="1"/>
    </xf>
    <xf numFmtId="3" fontId="0" fillId="0" borderId="32" xfId="0" applyNumberFormat="1" applyFont="1" applyFill="1" applyBorder="1" applyAlignment="1">
      <alignment horizontal="right" vertical="center" wrapText="1"/>
    </xf>
    <xf numFmtId="3" fontId="0" fillId="0" borderId="75" xfId="0" applyNumberFormat="1" applyFont="1" applyFill="1" applyBorder="1" applyAlignment="1">
      <alignment horizontal="right" vertical="center" wrapText="1"/>
    </xf>
    <xf numFmtId="168" fontId="0" fillId="0" borderId="75" xfId="0" applyNumberFormat="1" applyFont="1" applyFill="1" applyBorder="1" applyAlignment="1">
      <alignment horizontal="right" vertical="center" wrapText="1"/>
    </xf>
    <xf numFmtId="3" fontId="16" fillId="0" borderId="67" xfId="0" applyNumberFormat="1" applyFont="1" applyBorder="1" applyAlignment="1">
      <alignment horizontal="center" vertical="center" wrapText="1"/>
    </xf>
    <xf numFmtId="3" fontId="0" fillId="0" borderId="76" xfId="0" applyNumberFormat="1" applyFont="1" applyBorder="1" applyAlignment="1">
      <alignment horizontal="right" vertical="center" wrapText="1"/>
    </xf>
    <xf numFmtId="3" fontId="0" fillId="0" borderId="73" xfId="0" applyNumberFormat="1" applyBorder="1"/>
    <xf numFmtId="3" fontId="16" fillId="0" borderId="28" xfId="0" applyNumberFormat="1" applyFont="1" applyBorder="1"/>
    <xf numFmtId="3" fontId="16" fillId="0" borderId="49" xfId="0" applyNumberFormat="1" applyFont="1" applyFill="1" applyBorder="1" applyAlignment="1">
      <alignment horizontal="center" vertical="center" wrapText="1"/>
    </xf>
    <xf numFmtId="3" fontId="16" fillId="0" borderId="21" xfId="0" applyNumberFormat="1" applyFont="1" applyFill="1" applyBorder="1" applyAlignment="1">
      <alignment horizontal="center" vertical="center" wrapText="1"/>
    </xf>
    <xf numFmtId="3" fontId="0" fillId="0" borderId="58" xfId="0" applyNumberFormat="1" applyFont="1" applyFill="1" applyBorder="1" applyAlignment="1">
      <alignment horizontal="right" vertical="center" wrapText="1"/>
    </xf>
    <xf numFmtId="3" fontId="0" fillId="0" borderId="40" xfId="0" applyNumberFormat="1" applyFont="1" applyFill="1" applyBorder="1" applyAlignment="1">
      <alignment horizontal="right" vertical="center" wrapText="1"/>
    </xf>
    <xf numFmtId="3" fontId="0" fillId="0" borderId="52" xfId="0" applyNumberFormat="1" applyFill="1" applyBorder="1"/>
    <xf numFmtId="0" fontId="0" fillId="0" borderId="58" xfId="0" applyFont="1" applyBorder="1" applyAlignment="1">
      <alignment horizontal="right" vertical="center" wrapText="1"/>
    </xf>
    <xf numFmtId="3" fontId="16" fillId="0" borderId="20" xfId="0" applyNumberFormat="1" applyFont="1" applyBorder="1" applyAlignment="1">
      <alignment horizontal="center" vertical="center" wrapText="1"/>
    </xf>
    <xf numFmtId="3" fontId="0" fillId="0" borderId="39" xfId="0" applyNumberFormat="1" applyFont="1" applyBorder="1" applyAlignment="1">
      <alignment horizontal="right" vertical="center" wrapText="1"/>
    </xf>
    <xf numFmtId="167" fontId="0" fillId="0" borderId="44" xfId="0" applyNumberFormat="1" applyFill="1" applyBorder="1"/>
    <xf numFmtId="0" fontId="27" fillId="0" borderId="20"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0" xfId="0"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10" fontId="25" fillId="0" borderId="23" xfId="2" applyNumberFormat="1" applyFont="1" applyFill="1" applyBorder="1" applyAlignment="1">
      <alignment horizontal="center" vertical="center" wrapText="1"/>
    </xf>
    <xf numFmtId="0" fontId="25" fillId="34" borderId="22" xfId="0" applyFont="1" applyFill="1" applyBorder="1" applyAlignment="1">
      <alignment horizontal="center" vertical="center" wrapText="1"/>
    </xf>
    <xf numFmtId="0" fontId="25" fillId="34" borderId="10" xfId="0" applyFont="1" applyFill="1" applyBorder="1" applyAlignment="1">
      <alignment horizontal="center" vertical="center" wrapText="1"/>
    </xf>
    <xf numFmtId="3" fontId="25" fillId="34" borderId="10" xfId="0" applyNumberFormat="1" applyFont="1" applyFill="1" applyBorder="1" applyAlignment="1">
      <alignment horizontal="center" vertical="center" wrapText="1"/>
    </xf>
    <xf numFmtId="167" fontId="25" fillId="34" borderId="10" xfId="0" applyNumberFormat="1" applyFont="1" applyFill="1" applyBorder="1" applyAlignment="1">
      <alignment horizontal="center" vertical="center" wrapText="1"/>
    </xf>
    <xf numFmtId="10" fontId="25" fillId="34" borderId="23" xfId="2" applyNumberFormat="1" applyFont="1" applyFill="1" applyBorder="1" applyAlignment="1">
      <alignment horizontal="center" vertical="center" wrapText="1"/>
    </xf>
    <xf numFmtId="0" fontId="25" fillId="34" borderId="24" xfId="0" applyFont="1" applyFill="1" applyBorder="1" applyAlignment="1">
      <alignment horizontal="center" vertical="center" wrapText="1"/>
    </xf>
    <xf numFmtId="0" fontId="25" fillId="34" borderId="35" xfId="0" applyFont="1" applyFill="1" applyBorder="1" applyAlignment="1">
      <alignment horizontal="center" vertical="center" wrapText="1"/>
    </xf>
    <xf numFmtId="3" fontId="25" fillId="34" borderId="35" xfId="0" applyNumberFormat="1" applyFont="1" applyFill="1" applyBorder="1" applyAlignment="1">
      <alignment horizontal="center" vertical="center" wrapText="1"/>
    </xf>
    <xf numFmtId="167" fontId="25" fillId="34" borderId="35" xfId="0" applyNumberFormat="1" applyFont="1" applyFill="1" applyBorder="1" applyAlignment="1">
      <alignment horizontal="center" vertical="center" wrapText="1"/>
    </xf>
    <xf numFmtId="10" fontId="25" fillId="34" borderId="25" xfId="2" applyNumberFormat="1" applyFont="1" applyFill="1" applyBorder="1" applyAlignment="1">
      <alignment horizontal="center" vertical="center" wrapText="1"/>
    </xf>
    <xf numFmtId="10" fontId="25" fillId="0" borderId="10" xfId="2"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5" fillId="0" borderId="20" xfId="0" applyFont="1" applyBorder="1"/>
    <xf numFmtId="10" fontId="25" fillId="0" borderId="21" xfId="0" applyNumberFormat="1" applyFont="1" applyBorder="1"/>
    <xf numFmtId="0" fontId="25" fillId="0" borderId="22" xfId="0" applyFont="1" applyBorder="1"/>
    <xf numFmtId="10" fontId="25" fillId="0" borderId="23" xfId="0" applyNumberFormat="1" applyFont="1" applyBorder="1"/>
    <xf numFmtId="0" fontId="25" fillId="0" borderId="24" xfId="0" applyFont="1" applyBorder="1"/>
    <xf numFmtId="10" fontId="25" fillId="0" borderId="25" xfId="0" applyNumberFormat="1" applyFont="1" applyBorder="1"/>
    <xf numFmtId="0" fontId="25" fillId="0" borderId="0" xfId="0" applyFont="1"/>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34" borderId="18" xfId="0"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48" fillId="34" borderId="28" xfId="0" applyFont="1" applyFill="1" applyBorder="1" applyAlignment="1">
      <alignment horizontal="center" vertical="center" wrapText="1"/>
    </xf>
    <xf numFmtId="0" fontId="27" fillId="0" borderId="17" xfId="0" applyFont="1" applyBorder="1" applyAlignment="1">
      <alignment horizontal="center" vertical="center" wrapText="1"/>
    </xf>
    <xf numFmtId="0" fontId="25" fillId="0" borderId="0" xfId="0" applyFont="1" applyAlignment="1">
      <alignment horizontal="center" wrapText="1"/>
    </xf>
    <xf numFmtId="0" fontId="25" fillId="0" borderId="14" xfId="0" applyFont="1" applyBorder="1"/>
    <xf numFmtId="167" fontId="25" fillId="0" borderId="14" xfId="0" applyNumberFormat="1" applyFont="1" applyBorder="1"/>
    <xf numFmtId="167" fontId="25" fillId="34" borderId="15" xfId="0" applyNumberFormat="1" applyFont="1" applyFill="1" applyBorder="1"/>
    <xf numFmtId="167" fontId="25" fillId="0" borderId="0" xfId="0" applyNumberFormat="1" applyFont="1" applyBorder="1"/>
    <xf numFmtId="167" fontId="25" fillId="0" borderId="0" xfId="0" applyNumberFormat="1" applyFont="1" applyBorder="1" applyAlignment="1">
      <alignment horizontal="right" vertical="center"/>
    </xf>
    <xf numFmtId="167" fontId="25" fillId="35" borderId="15" xfId="0" applyNumberFormat="1" applyFont="1" applyFill="1" applyBorder="1"/>
    <xf numFmtId="0" fontId="27" fillId="0" borderId="26" xfId="0" applyFont="1" applyBorder="1"/>
    <xf numFmtId="167" fontId="27" fillId="0" borderId="26" xfId="0" applyNumberFormat="1" applyFont="1" applyBorder="1"/>
    <xf numFmtId="167" fontId="27" fillId="34" borderId="28" xfId="0" applyNumberFormat="1" applyFont="1" applyFill="1" applyBorder="1"/>
    <xf numFmtId="167" fontId="27" fillId="0" borderId="27" xfId="0" applyNumberFormat="1" applyFont="1" applyBorder="1"/>
    <xf numFmtId="167" fontId="27" fillId="0" borderId="27" xfId="0" applyNumberFormat="1" applyFont="1" applyBorder="1" applyAlignment="1">
      <alignment horizontal="right"/>
    </xf>
    <xf numFmtId="167" fontId="27" fillId="35" borderId="13" xfId="0" applyNumberFormat="1" applyFont="1" applyFill="1" applyBorder="1"/>
    <xf numFmtId="167" fontId="27" fillId="35" borderId="12" xfId="0" applyNumberFormat="1" applyFont="1" applyFill="1" applyBorder="1"/>
    <xf numFmtId="167" fontId="27" fillId="0" borderId="11" xfId="0" applyNumberFormat="1" applyFont="1" applyBorder="1"/>
    <xf numFmtId="167" fontId="52" fillId="0" borderId="26" xfId="0" applyNumberFormat="1" applyFont="1" applyBorder="1" applyAlignment="1">
      <alignment horizontal="center" vertical="center" wrapText="1"/>
    </xf>
    <xf numFmtId="2" fontId="52" fillId="0" borderId="28" xfId="0" applyNumberFormat="1" applyFont="1" applyBorder="1" applyAlignment="1">
      <alignment horizontal="center" vertical="center" wrapText="1"/>
    </xf>
    <xf numFmtId="166" fontId="27" fillId="0" borderId="18" xfId="0" applyNumberFormat="1" applyFont="1" applyBorder="1" applyAlignment="1">
      <alignment horizontal="center" vertical="center" wrapText="1"/>
    </xf>
    <xf numFmtId="166" fontId="25" fillId="0" borderId="0" xfId="0" applyNumberFormat="1" applyFont="1"/>
    <xf numFmtId="167" fontId="25" fillId="0" borderId="0" xfId="0" applyNumberFormat="1" applyFont="1"/>
    <xf numFmtId="3" fontId="27" fillId="0" borderId="23" xfId="0" applyNumberFormat="1" applyFont="1" applyBorder="1" applyAlignment="1">
      <alignment horizontal="center" vertical="center" wrapText="1"/>
    </xf>
    <xf numFmtId="3" fontId="25" fillId="0" borderId="10" xfId="0" applyNumberFormat="1" applyFont="1" applyBorder="1"/>
    <xf numFmtId="3" fontId="25" fillId="0" borderId="23" xfId="0" applyNumberFormat="1" applyFont="1" applyBorder="1"/>
    <xf numFmtId="0" fontId="25" fillId="0" borderId="23" xfId="0" applyFont="1" applyBorder="1"/>
    <xf numFmtId="0" fontId="25" fillId="0" borderId="22" xfId="0" applyFont="1" applyFill="1" applyBorder="1"/>
    <xf numFmtId="167" fontId="25" fillId="0" borderId="10" xfId="0" applyNumberFormat="1" applyFont="1" applyFill="1" applyBorder="1"/>
    <xf numFmtId="167" fontId="25" fillId="0" borderId="23" xfId="0" applyNumberFormat="1" applyFont="1" applyFill="1" applyBorder="1"/>
    <xf numFmtId="0" fontId="25" fillId="0" borderId="0" xfId="0" applyFont="1" applyFill="1"/>
    <xf numFmtId="0" fontId="25" fillId="0" borderId="10" xfId="0" applyFont="1" applyBorder="1"/>
    <xf numFmtId="164" fontId="25" fillId="0" borderId="10" xfId="2" applyNumberFormat="1" applyFont="1" applyBorder="1"/>
    <xf numFmtId="164" fontId="25" fillId="0" borderId="23" xfId="2" applyNumberFormat="1" applyFont="1" applyBorder="1"/>
    <xf numFmtId="174" fontId="25" fillId="0" borderId="10" xfId="2" applyNumberFormat="1" applyFont="1" applyBorder="1"/>
    <xf numFmtId="174" fontId="25" fillId="0" borderId="23" xfId="2" applyNumberFormat="1" applyFont="1" applyBorder="1"/>
    <xf numFmtId="3" fontId="25" fillId="0" borderId="0" xfId="0" applyNumberFormat="1" applyFont="1"/>
    <xf numFmtId="164" fontId="25" fillId="0" borderId="35" xfId="2" applyNumberFormat="1" applyFont="1" applyBorder="1"/>
    <xf numFmtId="164" fontId="25" fillId="0" borderId="25" xfId="2" applyNumberFormat="1" applyFont="1" applyBorder="1"/>
    <xf numFmtId="0" fontId="25" fillId="0" borderId="22" xfId="0" applyFont="1" applyBorder="1" applyAlignment="1">
      <alignment horizontal="left" vertical="center"/>
    </xf>
    <xf numFmtId="0" fontId="25" fillId="0" borderId="22" xfId="0" applyFont="1" applyBorder="1" applyAlignment="1">
      <alignment horizontal="left"/>
    </xf>
    <xf numFmtId="0" fontId="25" fillId="0" borderId="22" xfId="0" applyFont="1" applyFill="1" applyBorder="1" applyAlignment="1">
      <alignment horizontal="left" vertical="center"/>
    </xf>
    <xf numFmtId="0" fontId="47" fillId="33" borderId="22" xfId="47" applyFont="1" applyFill="1" applyBorder="1" applyAlignment="1">
      <alignment horizontal="left" vertical="top" wrapText="1"/>
    </xf>
    <xf numFmtId="0" fontId="47" fillId="33" borderId="24" xfId="47" applyFont="1" applyFill="1" applyBorder="1" applyAlignment="1">
      <alignment horizontal="left" vertical="top" wrapText="1"/>
    </xf>
    <xf numFmtId="0" fontId="25" fillId="0" borderId="0" xfId="0" applyFont="1" applyAlignment="1">
      <alignment horizontal="left"/>
    </xf>
    <xf numFmtId="0" fontId="27" fillId="0" borderId="0" xfId="0" applyFont="1" applyBorder="1" applyAlignment="1">
      <alignment horizontal="center" vertical="center" wrapText="1"/>
    </xf>
    <xf numFmtId="0" fontId="53" fillId="33" borderId="10" xfId="44" applyFont="1" applyFill="1" applyBorder="1" applyAlignment="1">
      <alignment horizontal="center" vertical="center" wrapText="1"/>
    </xf>
    <xf numFmtId="3" fontId="54" fillId="0" borderId="10" xfId="44" applyNumberFormat="1" applyFont="1" applyFill="1" applyBorder="1" applyAlignment="1">
      <alignment horizontal="right" vertical="center"/>
    </xf>
    <xf numFmtId="0" fontId="54" fillId="0" borderId="10" xfId="44" applyFont="1" applyFill="1" applyBorder="1" applyAlignment="1">
      <alignment horizontal="right" vertical="center"/>
    </xf>
    <xf numFmtId="164" fontId="25" fillId="0" borderId="10" xfId="2" applyNumberFormat="1" applyFont="1" applyFill="1" applyBorder="1" applyAlignment="1">
      <alignment horizontal="right" vertical="center"/>
    </xf>
    <xf numFmtId="3" fontId="25" fillId="0" borderId="10" xfId="0" applyNumberFormat="1" applyFont="1" applyFill="1" applyBorder="1" applyAlignment="1">
      <alignment horizontal="right" vertical="center" wrapText="1"/>
    </xf>
    <xf numFmtId="10" fontId="25" fillId="0" borderId="23" xfId="2" applyNumberFormat="1" applyFont="1" applyFill="1" applyBorder="1" applyAlignment="1">
      <alignment horizontal="right" vertical="center" wrapText="1"/>
    </xf>
    <xf numFmtId="8" fontId="27" fillId="0" borderId="0" xfId="0" applyNumberFormat="1" applyFont="1" applyAlignment="1">
      <alignment horizontal="center" vertical="center" wrapText="1"/>
    </xf>
    <xf numFmtId="164" fontId="27" fillId="0" borderId="10" xfId="2" applyNumberFormat="1" applyFont="1" applyFill="1" applyBorder="1" applyAlignment="1">
      <alignment horizontal="center" vertical="center" wrapText="1"/>
    </xf>
    <xf numFmtId="0" fontId="27" fillId="0" borderId="23" xfId="0" applyFont="1" applyFill="1" applyBorder="1" applyAlignment="1">
      <alignment horizontal="center" vertical="center" wrapText="1"/>
    </xf>
    <xf numFmtId="0" fontId="54" fillId="33" borderId="22" xfId="44" applyFont="1" applyFill="1" applyBorder="1" applyAlignment="1">
      <alignment horizontal="left" vertical="top" wrapText="1"/>
    </xf>
    <xf numFmtId="3" fontId="54" fillId="0" borderId="10" xfId="44" applyNumberFormat="1" applyFont="1" applyFill="1" applyBorder="1" applyAlignment="1">
      <alignment horizontal="right" vertical="center" wrapText="1"/>
    </xf>
    <xf numFmtId="0" fontId="25" fillId="0" borderId="10" xfId="0" applyFont="1" applyFill="1" applyBorder="1" applyAlignment="1">
      <alignment horizontal="right" vertical="center"/>
    </xf>
    <xf numFmtId="0" fontId="25" fillId="0" borderId="10" xfId="0" applyFont="1" applyFill="1" applyBorder="1"/>
    <xf numFmtId="164" fontId="25" fillId="0" borderId="10" xfId="2" applyNumberFormat="1" applyFont="1" applyFill="1" applyBorder="1"/>
    <xf numFmtId="0" fontId="25" fillId="0" borderId="23" xfId="0" applyFont="1" applyFill="1" applyBorder="1"/>
    <xf numFmtId="10" fontId="25" fillId="0" borderId="10" xfId="0" applyNumberFormat="1" applyFont="1" applyFill="1" applyBorder="1" applyAlignment="1">
      <alignment horizontal="right" vertical="center"/>
    </xf>
    <xf numFmtId="10" fontId="54" fillId="0" borderId="10" xfId="44" applyNumberFormat="1" applyFont="1" applyFill="1" applyBorder="1" applyAlignment="1">
      <alignment horizontal="right" vertical="center" wrapText="1"/>
    </xf>
    <xf numFmtId="164" fontId="54" fillId="0" borderId="10" xfId="2" applyNumberFormat="1" applyFont="1" applyFill="1" applyBorder="1" applyAlignment="1">
      <alignment horizontal="right" vertical="center" wrapText="1"/>
    </xf>
    <xf numFmtId="0" fontId="54" fillId="0" borderId="10" xfId="44" applyFont="1" applyFill="1" applyBorder="1" applyAlignment="1">
      <alignment horizontal="right" vertical="center" wrapText="1"/>
    </xf>
    <xf numFmtId="0" fontId="54" fillId="0" borderId="10" xfId="44" applyNumberFormat="1" applyFont="1" applyFill="1" applyBorder="1" applyAlignment="1">
      <alignment horizontal="right" vertical="center" wrapText="1"/>
    </xf>
    <xf numFmtId="0" fontId="54" fillId="33" borderId="24" xfId="44" applyFont="1" applyFill="1" applyBorder="1" applyAlignment="1">
      <alignment horizontal="left" vertical="top" wrapText="1"/>
    </xf>
    <xf numFmtId="0" fontId="54" fillId="0" borderId="35" xfId="44" applyFont="1" applyFill="1" applyBorder="1" applyAlignment="1">
      <alignment horizontal="left" vertical="top" wrapText="1"/>
    </xf>
    <xf numFmtId="0" fontId="25" fillId="0" borderId="35" xfId="0" applyFont="1" applyFill="1" applyBorder="1"/>
    <xf numFmtId="0" fontId="25" fillId="0" borderId="25" xfId="0" applyFont="1" applyFill="1" applyBorder="1"/>
    <xf numFmtId="3" fontId="25" fillId="0" borderId="10" xfId="0" applyNumberFormat="1" applyFont="1" applyFill="1" applyBorder="1"/>
    <xf numFmtId="3" fontId="25" fillId="0" borderId="23" xfId="0" applyNumberFormat="1" applyFont="1" applyFill="1" applyBorder="1"/>
    <xf numFmtId="3" fontId="25" fillId="0" borderId="35" xfId="0" applyNumberFormat="1" applyFont="1" applyBorder="1"/>
    <xf numFmtId="3" fontId="25" fillId="0" borderId="35" xfId="0" applyNumberFormat="1" applyFont="1" applyFill="1" applyBorder="1"/>
    <xf numFmtId="3" fontId="25" fillId="0" borderId="25" xfId="0" applyNumberFormat="1" applyFont="1" applyFill="1" applyBorder="1"/>
    <xf numFmtId="3" fontId="25" fillId="0" borderId="0" xfId="0" applyNumberFormat="1" applyFont="1" applyFill="1"/>
    <xf numFmtId="0" fontId="27" fillId="0" borderId="54" xfId="0" applyFont="1" applyBorder="1" applyAlignment="1">
      <alignment horizontal="center" vertical="center" wrapText="1"/>
    </xf>
    <xf numFmtId="0" fontId="25" fillId="0" borderId="31" xfId="0" applyFont="1" applyBorder="1"/>
    <xf numFmtId="3" fontId="25" fillId="0" borderId="31" xfId="0" applyNumberFormat="1" applyFont="1" applyBorder="1"/>
    <xf numFmtId="0" fontId="25" fillId="0" borderId="64" xfId="0" applyFont="1" applyBorder="1"/>
    <xf numFmtId="0" fontId="27" fillId="0" borderId="21" xfId="0" applyFont="1" applyBorder="1" applyAlignment="1">
      <alignment horizontal="center" vertical="center" wrapText="1"/>
    </xf>
    <xf numFmtId="0" fontId="56" fillId="0" borderId="22" xfId="0" applyFont="1" applyBorder="1"/>
    <xf numFmtId="164" fontId="25" fillId="0" borderId="23" xfId="2" applyNumberFormat="1" applyFont="1" applyFill="1" applyBorder="1"/>
    <xf numFmtId="0" fontId="56" fillId="0" borderId="24" xfId="0" applyFont="1" applyBorder="1"/>
    <xf numFmtId="0" fontId="56" fillId="0" borderId="0" xfId="0" applyFont="1" applyBorder="1"/>
    <xf numFmtId="3" fontId="25" fillId="0" borderId="0" xfId="0" applyNumberFormat="1" applyFont="1" applyFill="1" applyBorder="1"/>
    <xf numFmtId="0" fontId="25" fillId="0" borderId="0" xfId="0" applyFont="1" applyAlignment="1"/>
    <xf numFmtId="3" fontId="27" fillId="0" borderId="10" xfId="0" applyNumberFormat="1" applyFont="1" applyBorder="1" applyAlignment="1">
      <alignment horizontal="center" vertical="center" wrapText="1"/>
    </xf>
    <xf numFmtId="3" fontId="27" fillId="34" borderId="10" xfId="0" applyNumberFormat="1" applyFont="1" applyFill="1" applyBorder="1" applyAlignment="1">
      <alignment horizontal="center" vertical="center" wrapText="1"/>
    </xf>
    <xf numFmtId="3" fontId="25" fillId="34" borderId="10" xfId="0" applyNumberFormat="1" applyFont="1" applyFill="1" applyBorder="1"/>
    <xf numFmtId="0" fontId="27" fillId="0" borderId="10" xfId="0" applyFont="1" applyBorder="1" applyAlignment="1">
      <alignment horizontal="center" vertical="center"/>
    </xf>
    <xf numFmtId="0" fontId="25" fillId="0" borderId="10" xfId="0" applyFont="1" applyBorder="1" applyAlignment="1">
      <alignment horizontal="left" vertical="center"/>
    </xf>
    <xf numFmtId="9" fontId="25" fillId="0" borderId="10" xfId="2" applyFont="1" applyBorder="1"/>
    <xf numFmtId="166" fontId="25" fillId="0" borderId="10" xfId="0" applyNumberFormat="1" applyFont="1" applyBorder="1"/>
    <xf numFmtId="2" fontId="25" fillId="0" borderId="10" xfId="0" applyNumberFormat="1" applyFont="1" applyFill="1" applyBorder="1"/>
    <xf numFmtId="165" fontId="25" fillId="0" borderId="10" xfId="0" applyNumberFormat="1" applyFont="1" applyBorder="1"/>
    <xf numFmtId="0" fontId="57" fillId="0" borderId="10" xfId="45" applyFont="1" applyFill="1" applyBorder="1"/>
    <xf numFmtId="0" fontId="27" fillId="0" borderId="10" xfId="0" applyFont="1" applyFill="1" applyBorder="1" applyAlignment="1">
      <alignment horizontal="center" vertical="center"/>
    </xf>
    <xf numFmtId="165" fontId="25" fillId="0" borderId="10" xfId="0" applyNumberFormat="1" applyFont="1" applyFill="1" applyBorder="1"/>
    <xf numFmtId="165" fontId="25" fillId="0" borderId="10" xfId="2" applyNumberFormat="1" applyFont="1" applyFill="1" applyBorder="1"/>
    <xf numFmtId="2" fontId="25" fillId="0" borderId="10" xfId="2" applyNumberFormat="1" applyFont="1" applyFill="1" applyBorder="1"/>
    <xf numFmtId="169" fontId="25" fillId="0" borderId="10" xfId="0" applyNumberFormat="1" applyFont="1" applyBorder="1"/>
    <xf numFmtId="0" fontId="58" fillId="0" borderId="10" xfId="0" applyFont="1" applyFill="1" applyBorder="1"/>
    <xf numFmtId="1" fontId="25" fillId="0" borderId="10" xfId="0" applyNumberFormat="1" applyFont="1" applyBorder="1"/>
    <xf numFmtId="1" fontId="25" fillId="0" borderId="10" xfId="2" applyNumberFormat="1" applyFont="1" applyBorder="1"/>
    <xf numFmtId="166" fontId="25" fillId="0" borderId="10" xfId="1" applyNumberFormat="1" applyFont="1" applyFill="1" applyBorder="1"/>
    <xf numFmtId="166" fontId="25" fillId="0" borderId="10" xfId="0" applyNumberFormat="1" applyFont="1" applyFill="1" applyBorder="1"/>
    <xf numFmtId="0" fontId="25" fillId="34" borderId="10" xfId="0" applyFont="1" applyFill="1" applyBorder="1"/>
    <xf numFmtId="166" fontId="25" fillId="34" borderId="10" xfId="0" applyNumberFormat="1" applyFont="1" applyFill="1" applyBorder="1"/>
    <xf numFmtId="166" fontId="25" fillId="34" borderId="10" xfId="1" applyNumberFormat="1" applyFont="1" applyFill="1" applyBorder="1"/>
    <xf numFmtId="1" fontId="25" fillId="0" borderId="10" xfId="0" applyNumberFormat="1" applyFont="1" applyFill="1" applyBorder="1"/>
    <xf numFmtId="178" fontId="25" fillId="0" borderId="10" xfId="0" applyNumberFormat="1" applyFont="1" applyFill="1" applyBorder="1"/>
    <xf numFmtId="0" fontId="27" fillId="0" borderId="10" xfId="0" applyFont="1" applyBorder="1" applyAlignment="1">
      <alignment horizontal="center"/>
    </xf>
    <xf numFmtId="2" fontId="25" fillId="0" borderId="10" xfId="0" applyNumberFormat="1" applyFont="1" applyBorder="1"/>
    <xf numFmtId="169" fontId="25" fillId="0" borderId="10" xfId="0" applyNumberFormat="1" applyFont="1" applyFill="1" applyBorder="1"/>
    <xf numFmtId="167" fontId="25" fillId="0" borderId="10" xfId="1" applyNumberFormat="1" applyFont="1" applyBorder="1"/>
    <xf numFmtId="167" fontId="25" fillId="0" borderId="10" xfId="0" applyNumberFormat="1" applyFont="1" applyBorder="1"/>
    <xf numFmtId="166" fontId="59" fillId="0" borderId="10" xfId="0" applyNumberFormat="1" applyFont="1" applyFill="1" applyBorder="1" applyAlignment="1">
      <alignment wrapText="1"/>
    </xf>
    <xf numFmtId="171" fontId="25" fillId="0" borderId="10" xfId="0" applyNumberFormat="1" applyFont="1" applyFill="1" applyBorder="1"/>
    <xf numFmtId="44" fontId="25" fillId="0" borderId="10" xfId="1" applyFont="1" applyBorder="1"/>
    <xf numFmtId="167" fontId="16" fillId="0" borderId="20" xfId="0" applyNumberFormat="1" applyFont="1" applyBorder="1" applyAlignment="1">
      <alignment horizontal="center" vertical="center" wrapText="1"/>
    </xf>
    <xf numFmtId="167" fontId="16" fillId="0" borderId="21" xfId="0" applyNumberFormat="1" applyFont="1" applyBorder="1" applyAlignment="1">
      <alignment horizontal="center" vertical="center" wrapText="1"/>
    </xf>
    <xf numFmtId="167" fontId="0" fillId="0" borderId="38" xfId="0" applyNumberFormat="1" applyBorder="1"/>
    <xf numFmtId="167" fontId="0" fillId="0" borderId="45" xfId="0" applyNumberFormat="1" applyBorder="1"/>
    <xf numFmtId="167" fontId="0" fillId="0" borderId="22" xfId="0" applyNumberFormat="1" applyFill="1" applyBorder="1"/>
    <xf numFmtId="167" fontId="0" fillId="0" borderId="77" xfId="0" applyNumberFormat="1" applyFill="1" applyBorder="1"/>
    <xf numFmtId="167" fontId="0" fillId="0" borderId="43" xfId="0" applyNumberFormat="1" applyFill="1" applyBorder="1"/>
    <xf numFmtId="3" fontId="25" fillId="0" borderId="0" xfId="0" applyNumberFormat="1" applyFont="1" applyBorder="1"/>
    <xf numFmtId="0" fontId="45" fillId="0" borderId="0" xfId="0" applyFont="1" applyBorder="1" applyAlignment="1">
      <alignment horizontal="center" vertical="center" wrapText="1"/>
    </xf>
    <xf numFmtId="0" fontId="60" fillId="0" borderId="0" xfId="0" applyFont="1" applyBorder="1" applyAlignment="1">
      <alignment horizontal="left" vertical="center" wrapText="1"/>
    </xf>
    <xf numFmtId="0" fontId="61" fillId="0" borderId="0" xfId="0" applyFont="1" applyBorder="1" applyAlignment="1">
      <alignment horizontal="right" vertical="center" wrapText="1"/>
    </xf>
    <xf numFmtId="0" fontId="62" fillId="0" borderId="0" xfId="0" applyFont="1" applyBorder="1" applyAlignment="1">
      <alignment horizontal="right" vertical="center" wrapText="1"/>
    </xf>
    <xf numFmtId="172" fontId="25" fillId="0" borderId="10" xfId="0" applyNumberFormat="1" applyFont="1" applyBorder="1"/>
    <xf numFmtId="0" fontId="25" fillId="35" borderId="10" xfId="0" applyFont="1" applyFill="1" applyBorder="1"/>
    <xf numFmtId="3" fontId="25" fillId="35" borderId="10" xfId="0" applyNumberFormat="1" applyFont="1" applyFill="1" applyBorder="1"/>
    <xf numFmtId="0" fontId="25" fillId="35" borderId="0" xfId="0" applyFont="1" applyFill="1"/>
    <xf numFmtId="3" fontId="25" fillId="35" borderId="0" xfId="0" applyNumberFormat="1" applyFont="1" applyFill="1"/>
    <xf numFmtId="3" fontId="61" fillId="0" borderId="0" xfId="0" applyNumberFormat="1" applyFont="1" applyBorder="1" applyAlignment="1">
      <alignment horizontal="right" vertical="center" wrapText="1"/>
    </xf>
    <xf numFmtId="3" fontId="62" fillId="0" borderId="0" xfId="0" applyNumberFormat="1" applyFont="1" applyBorder="1" applyAlignment="1">
      <alignment horizontal="right" vertical="center" wrapText="1"/>
    </xf>
    <xf numFmtId="0" fontId="16" fillId="0" borderId="20" xfId="0" applyFont="1" applyBorder="1" applyAlignment="1">
      <alignment horizontal="center" vertical="center" wrapText="1"/>
    </xf>
    <xf numFmtId="167" fontId="27" fillId="0" borderId="27" xfId="0" applyNumberFormat="1" applyFont="1" applyBorder="1" applyAlignment="1">
      <alignment horizontal="center"/>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5" xfId="0" applyFont="1" applyFill="1" applyBorder="1" applyAlignment="1">
      <alignment horizontal="center" vertical="center" wrapText="1"/>
    </xf>
    <xf numFmtId="0" fontId="46" fillId="0" borderId="25" xfId="0" applyFont="1" applyBorder="1" applyAlignment="1">
      <alignment horizontal="center" vertical="center" wrapText="1"/>
    </xf>
    <xf numFmtId="0" fontId="16" fillId="0" borderId="34" xfId="0"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2" xfId="0" applyFont="1" applyBorder="1" applyAlignment="1">
      <alignment horizontal="center" vertical="center" wrapText="1"/>
    </xf>
    <xf numFmtId="3" fontId="16" fillId="0" borderId="29" xfId="0" applyNumberFormat="1" applyFont="1" applyBorder="1" applyAlignment="1">
      <alignment horizontal="center" vertical="center" wrapText="1"/>
    </xf>
    <xf numFmtId="0" fontId="16" fillId="0" borderId="34" xfId="0" applyFont="1" applyFill="1" applyBorder="1" applyAlignment="1">
      <alignment horizontal="center" vertical="center" wrapText="1"/>
    </xf>
    <xf numFmtId="0" fontId="16" fillId="0" borderId="20" xfId="0" applyFont="1" applyBorder="1" applyAlignment="1">
      <alignment horizontal="center" vertical="center" wrapText="1"/>
    </xf>
    <xf numFmtId="0" fontId="22" fillId="0" borderId="10" xfId="45" applyBorder="1"/>
    <xf numFmtId="10" fontId="25" fillId="0" borderId="10" xfId="2" applyNumberFormat="1" applyFont="1" applyBorder="1"/>
    <xf numFmtId="4" fontId="25" fillId="0" borderId="0" xfId="0" applyNumberFormat="1" applyFont="1"/>
    <xf numFmtId="175" fontId="16" fillId="0" borderId="44" xfId="0" applyNumberFormat="1" applyFont="1" applyBorder="1"/>
    <xf numFmtId="0" fontId="22" fillId="0" borderId="10" xfId="45" applyFill="1" applyBorder="1"/>
    <xf numFmtId="2" fontId="25" fillId="0" borderId="0" xfId="0" applyNumberFormat="1" applyFont="1"/>
    <xf numFmtId="166" fontId="0" fillId="0" borderId="0" xfId="0" applyNumberFormat="1" applyFont="1"/>
    <xf numFmtId="0" fontId="27" fillId="0" borderId="20" xfId="0" applyFont="1" applyBorder="1" applyAlignment="1">
      <alignment horizontal="center" wrapText="1"/>
    </xf>
    <xf numFmtId="0" fontId="27" fillId="0" borderId="34" xfId="0" applyFont="1" applyBorder="1" applyAlignment="1">
      <alignment horizontal="center" wrapText="1"/>
    </xf>
    <xf numFmtId="0" fontId="27" fillId="0" borderId="21" xfId="0" applyFont="1" applyBorder="1" applyAlignment="1">
      <alignment horizontal="center" wrapText="1"/>
    </xf>
    <xf numFmtId="0" fontId="5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0" xfId="0" applyFont="1" applyAlignment="1">
      <alignment horizontal="center" vertical="center" wrapText="1"/>
    </xf>
    <xf numFmtId="0" fontId="51" fillId="0" borderId="15"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35" borderId="13" xfId="0" applyFont="1" applyFill="1" applyBorder="1" applyAlignment="1">
      <alignment horizontal="center" vertical="center" wrapText="1"/>
    </xf>
    <xf numFmtId="0" fontId="27" fillId="35" borderId="18" xfId="0" applyFont="1" applyFill="1" applyBorder="1" applyAlignment="1">
      <alignment horizontal="center" vertical="center" wrapText="1"/>
    </xf>
    <xf numFmtId="0" fontId="27" fillId="0" borderId="60" xfId="0" applyFont="1" applyBorder="1" applyAlignment="1">
      <alignment horizontal="center" vertical="center" wrapText="1"/>
    </xf>
    <xf numFmtId="0" fontId="27" fillId="0" borderId="16" xfId="0" applyFont="1" applyBorder="1" applyAlignment="1">
      <alignment horizontal="center" vertical="center" wrapText="1"/>
    </xf>
    <xf numFmtId="167" fontId="49" fillId="0" borderId="14" xfId="0" applyNumberFormat="1" applyFont="1" applyBorder="1" applyAlignment="1">
      <alignment horizontal="center" vertical="center"/>
    </xf>
    <xf numFmtId="167" fontId="49" fillId="0" borderId="0" xfId="0" applyNumberFormat="1" applyFont="1" applyBorder="1" applyAlignment="1">
      <alignment horizontal="center" vertical="center"/>
    </xf>
    <xf numFmtId="167" fontId="27" fillId="0" borderId="26" xfId="0" applyNumberFormat="1" applyFont="1" applyBorder="1" applyAlignment="1">
      <alignment horizontal="center"/>
    </xf>
    <xf numFmtId="167" fontId="27" fillId="0" borderId="27" xfId="0" applyNumberFormat="1" applyFont="1" applyBorder="1" applyAlignment="1">
      <alignment horizontal="center"/>
    </xf>
    <xf numFmtId="167" fontId="49" fillId="0" borderId="12" xfId="0" applyNumberFormat="1" applyFont="1" applyBorder="1" applyAlignment="1">
      <alignment horizontal="center" vertical="center"/>
    </xf>
    <xf numFmtId="167" fontId="49" fillId="0" borderId="17" xfId="0" applyNumberFormat="1" applyFont="1" applyBorder="1" applyAlignment="1">
      <alignment horizontal="center"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0" xfId="0" applyFont="1" applyBorder="1" applyAlignment="1">
      <alignment horizontal="center"/>
    </xf>
    <xf numFmtId="0" fontId="27" fillId="0" borderId="34" xfId="0" applyFont="1" applyBorder="1" applyAlignment="1">
      <alignment horizontal="center"/>
    </xf>
    <xf numFmtId="0" fontId="27" fillId="0" borderId="21" xfId="0" applyFont="1" applyBorder="1" applyAlignment="1">
      <alignment horizontal="center"/>
    </xf>
    <xf numFmtId="0" fontId="55" fillId="33" borderId="0" xfId="44" applyFont="1" applyFill="1" applyBorder="1" applyAlignment="1">
      <alignment horizontal="left" vertical="top" wrapText="1"/>
    </xf>
    <xf numFmtId="0" fontId="27" fillId="0" borderId="0" xfId="0" applyFont="1" applyAlignment="1">
      <alignment horizontal="center"/>
    </xf>
    <xf numFmtId="0" fontId="53" fillId="33" borderId="34" xfId="44" applyFont="1" applyFill="1" applyBorder="1" applyAlignment="1">
      <alignment horizontal="center" vertical="center" wrapText="1"/>
    </xf>
    <xf numFmtId="0" fontId="53" fillId="33" borderId="21" xfId="44" applyFont="1" applyFill="1" applyBorder="1" applyAlignment="1">
      <alignment horizontal="center" vertical="center" wrapText="1"/>
    </xf>
    <xf numFmtId="0" fontId="53" fillId="33" borderId="29" xfId="44" applyFont="1" applyFill="1" applyBorder="1" applyAlignment="1">
      <alignment horizontal="center" vertical="center" wrapText="1"/>
    </xf>
    <xf numFmtId="0" fontId="53" fillId="33" borderId="30" xfId="44" applyFont="1" applyFill="1" applyBorder="1" applyAlignment="1">
      <alignment horizontal="center" vertical="center" wrapText="1"/>
    </xf>
    <xf numFmtId="0" fontId="53" fillId="33" borderId="31" xfId="44" applyFont="1" applyFill="1" applyBorder="1" applyAlignment="1">
      <alignment horizontal="center" vertical="center" wrapText="1"/>
    </xf>
    <xf numFmtId="0" fontId="27" fillId="0" borderId="33"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9" xfId="0" applyFont="1" applyBorder="1" applyAlignment="1">
      <alignment horizontal="center" vertical="center" wrapText="1"/>
    </xf>
    <xf numFmtId="3" fontId="27" fillId="0" borderId="34" xfId="0" applyNumberFormat="1" applyFont="1" applyBorder="1" applyAlignment="1">
      <alignment horizontal="center" vertical="center" wrapText="1"/>
    </xf>
    <xf numFmtId="3" fontId="27" fillId="0" borderId="21" xfId="0" applyNumberFormat="1" applyFont="1" applyBorder="1" applyAlignment="1">
      <alignment horizontal="center" vertical="center" wrapText="1"/>
    </xf>
    <xf numFmtId="0" fontId="27" fillId="0" borderId="34"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9" xfId="0" applyFont="1" applyBorder="1" applyAlignment="1">
      <alignment horizontal="center" vertical="center"/>
    </xf>
    <xf numFmtId="0" fontId="27" fillId="0" borderId="59" xfId="0" applyFont="1" applyBorder="1" applyAlignment="1">
      <alignment horizontal="center" vertical="center"/>
    </xf>
    <xf numFmtId="0" fontId="27" fillId="0" borderId="46" xfId="0" applyFont="1" applyBorder="1" applyAlignment="1">
      <alignment horizontal="center"/>
    </xf>
    <xf numFmtId="0" fontId="27" fillId="0" borderId="54" xfId="0" applyFont="1" applyBorder="1" applyAlignment="1">
      <alignment horizontal="center"/>
    </xf>
    <xf numFmtId="0" fontId="27" fillId="0" borderId="20" xfId="0" applyFont="1" applyBorder="1" applyAlignment="1">
      <alignment horizontal="center" vertical="center" wrapText="1"/>
    </xf>
    <xf numFmtId="0" fontId="27" fillId="0" borderId="22" xfId="0" applyFont="1" applyBorder="1" applyAlignment="1">
      <alignment horizontal="center" vertical="center" wrapText="1"/>
    </xf>
    <xf numFmtId="3" fontId="27" fillId="0" borderId="10" xfId="0" applyNumberFormat="1" applyFont="1" applyBorder="1" applyAlignment="1">
      <alignment horizontal="center"/>
    </xf>
    <xf numFmtId="0" fontId="45" fillId="0" borderId="0" xfId="0" applyFont="1" applyBorder="1" applyAlignment="1">
      <alignment horizontal="center" vertical="center" wrapText="1"/>
    </xf>
    <xf numFmtId="0" fontId="20" fillId="0" borderId="0" xfId="0" applyFont="1" applyAlignment="1">
      <alignment horizontal="center" wrapText="1"/>
    </xf>
    <xf numFmtId="0" fontId="16" fillId="0" borderId="20" xfId="0" applyFont="1" applyBorder="1" applyAlignment="1">
      <alignment horizontal="center"/>
    </xf>
    <xf numFmtId="0" fontId="16" fillId="0" borderId="34" xfId="0" applyFont="1" applyBorder="1" applyAlignment="1">
      <alignment horizontal="center"/>
    </xf>
    <xf numFmtId="0" fontId="16" fillId="0" borderId="21" xfId="0" applyFont="1" applyBorder="1" applyAlignment="1">
      <alignment horizontal="center"/>
    </xf>
    <xf numFmtId="0" fontId="25" fillId="0" borderId="26" xfId="0" applyFont="1" applyFill="1" applyBorder="1" applyAlignment="1">
      <alignment horizontal="center"/>
    </xf>
    <xf numFmtId="0" fontId="25" fillId="0" borderId="27" xfId="0" applyFont="1" applyFill="1" applyBorder="1" applyAlignment="1">
      <alignment horizontal="center"/>
    </xf>
    <xf numFmtId="0" fontId="25" fillId="0" borderId="28" xfId="0" applyFont="1" applyFill="1" applyBorder="1" applyAlignment="1">
      <alignment horizontal="center"/>
    </xf>
    <xf numFmtId="0" fontId="16" fillId="0" borderId="49" xfId="0" applyFont="1" applyFill="1" applyBorder="1" applyAlignment="1">
      <alignment horizontal="center" vertical="center" wrapText="1"/>
    </xf>
    <xf numFmtId="0" fontId="16" fillId="0" borderId="52" xfId="0" applyFont="1" applyFill="1" applyBorder="1" applyAlignment="1">
      <alignment horizontal="center" vertical="center" wrapText="1"/>
    </xf>
    <xf numFmtId="166" fontId="16" fillId="0" borderId="36" xfId="0" applyNumberFormat="1" applyFont="1" applyFill="1" applyBorder="1" applyAlignment="1">
      <alignment horizontal="center" vertical="center" wrapText="1"/>
    </xf>
    <xf numFmtId="166" fontId="16" fillId="0" borderId="53" xfId="0" applyNumberFormat="1" applyFont="1" applyFill="1" applyBorder="1" applyAlignment="1">
      <alignment horizontal="center" vertical="center" wrapText="1"/>
    </xf>
    <xf numFmtId="166" fontId="16" fillId="0" borderId="55" xfId="0" applyNumberFormat="1" applyFont="1" applyFill="1" applyBorder="1" applyAlignment="1">
      <alignment horizontal="center" vertical="center" wrapText="1"/>
    </xf>
    <xf numFmtId="0" fontId="16" fillId="0" borderId="36"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5" xfId="0" applyFont="1" applyBorder="1" applyAlignment="1">
      <alignment horizontal="center" vertical="center" wrapText="1"/>
    </xf>
    <xf numFmtId="167" fontId="16" fillId="0" borderId="20" xfId="0" applyNumberFormat="1" applyFont="1" applyBorder="1" applyAlignment="1">
      <alignment horizontal="center" vertical="center" wrapText="1"/>
    </xf>
    <xf numFmtId="167" fontId="16" fillId="0" borderId="21" xfId="0" applyNumberFormat="1" applyFont="1" applyBorder="1" applyAlignment="1">
      <alignment horizontal="center" vertical="center" wrapText="1"/>
    </xf>
    <xf numFmtId="167" fontId="16" fillId="0" borderId="24" xfId="0" applyNumberFormat="1" applyFont="1" applyBorder="1" applyAlignment="1">
      <alignment horizontal="center" vertical="center" wrapText="1"/>
    </xf>
    <xf numFmtId="167" fontId="16" fillId="0" borderId="25" xfId="0" applyNumberFormat="1" applyFont="1" applyBorder="1" applyAlignment="1">
      <alignment horizontal="center" vertical="center" wrapText="1"/>
    </xf>
    <xf numFmtId="166" fontId="16" fillId="0" borderId="20" xfId="0" applyNumberFormat="1" applyFont="1" applyFill="1" applyBorder="1" applyAlignment="1">
      <alignment horizontal="center" vertical="center" wrapText="1"/>
    </xf>
    <xf numFmtId="166" fontId="16" fillId="0" borderId="34" xfId="0" applyNumberFormat="1" applyFont="1" applyFill="1" applyBorder="1" applyAlignment="1">
      <alignment horizontal="center" vertical="center" wrapText="1"/>
    </xf>
    <xf numFmtId="166" fontId="16" fillId="0" borderId="21" xfId="0" applyNumberFormat="1" applyFont="1" applyFill="1" applyBorder="1" applyAlignment="1">
      <alignment horizontal="center" vertical="center" wrapText="1"/>
    </xf>
    <xf numFmtId="167" fontId="16" fillId="0" borderId="20" xfId="0" applyNumberFormat="1" applyFont="1" applyFill="1" applyBorder="1" applyAlignment="1">
      <alignment horizontal="center" vertical="center" wrapText="1"/>
    </xf>
    <xf numFmtId="167" fontId="16" fillId="0" borderId="34" xfId="0" applyNumberFormat="1" applyFont="1" applyFill="1" applyBorder="1" applyAlignment="1">
      <alignment horizontal="center" vertical="center" wrapText="1"/>
    </xf>
    <xf numFmtId="167" fontId="16" fillId="0" borderId="21"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21" xfId="0" applyFont="1" applyFill="1" applyBorder="1" applyAlignment="1">
      <alignment horizontal="center" vertical="center" wrapText="1"/>
    </xf>
    <xf numFmtId="166" fontId="16" fillId="0" borderId="20" xfId="0" applyNumberFormat="1" applyFont="1" applyBorder="1" applyAlignment="1">
      <alignment horizontal="center"/>
    </xf>
    <xf numFmtId="166" fontId="16" fillId="0" borderId="34" xfId="0" applyNumberFormat="1" applyFont="1" applyBorder="1" applyAlignment="1">
      <alignment horizontal="center"/>
    </xf>
    <xf numFmtId="166" fontId="16" fillId="0" borderId="21" xfId="0" applyNumberFormat="1" applyFont="1" applyBorder="1" applyAlignment="1">
      <alignment horizontal="center"/>
    </xf>
    <xf numFmtId="167" fontId="16" fillId="0" borderId="43" xfId="0" applyNumberFormat="1" applyFont="1" applyBorder="1" applyAlignment="1">
      <alignment horizontal="center"/>
    </xf>
    <xf numFmtId="167" fontId="16" fillId="0" borderId="45" xfId="0" applyNumberFormat="1" applyFont="1" applyBorder="1" applyAlignment="1">
      <alignment horizontal="center"/>
    </xf>
    <xf numFmtId="0" fontId="16" fillId="0" borderId="49"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2" xfId="0" applyFont="1" applyBorder="1" applyAlignment="1">
      <alignment horizontal="center" vertical="center" wrapText="1"/>
    </xf>
    <xf numFmtId="3" fontId="16" fillId="0" borderId="46" xfId="0" applyNumberFormat="1" applyFont="1" applyBorder="1" applyAlignment="1">
      <alignment horizontal="center" vertical="center" wrapText="1"/>
    </xf>
    <xf numFmtId="3" fontId="16" fillId="0" borderId="29" xfId="0" applyNumberFormat="1" applyFont="1" applyBorder="1" applyAlignment="1">
      <alignment horizontal="center" vertical="center" wrapText="1"/>
    </xf>
    <xf numFmtId="3" fontId="16" fillId="0" borderId="20" xfId="0" applyNumberFormat="1" applyFont="1" applyBorder="1" applyAlignment="1">
      <alignment horizontal="center"/>
    </xf>
    <xf numFmtId="3" fontId="16" fillId="0" borderId="34" xfId="0" applyNumberFormat="1" applyFont="1" applyBorder="1" applyAlignment="1">
      <alignment horizontal="center"/>
    </xf>
    <xf numFmtId="3" fontId="16" fillId="0" borderId="21" xfId="0" applyNumberFormat="1" applyFont="1" applyBorder="1" applyAlignment="1">
      <alignment horizontal="center"/>
    </xf>
    <xf numFmtId="3" fontId="16" fillId="0" borderId="54" xfId="0" applyNumberFormat="1" applyFont="1" applyBorder="1" applyAlignment="1">
      <alignment horizontal="center"/>
    </xf>
    <xf numFmtId="3" fontId="16" fillId="0" borderId="46" xfId="0" applyNumberFormat="1" applyFont="1" applyBorder="1" applyAlignment="1">
      <alignment horizontal="center"/>
    </xf>
    <xf numFmtId="167" fontId="16" fillId="0" borderId="20" xfId="0" applyNumberFormat="1" applyFont="1" applyBorder="1" applyAlignment="1">
      <alignment horizontal="center"/>
    </xf>
    <xf numFmtId="167" fontId="16" fillId="0" borderId="34" xfId="0" applyNumberFormat="1" applyFont="1" applyBorder="1" applyAlignment="1">
      <alignment horizontal="center"/>
    </xf>
    <xf numFmtId="167" fontId="16" fillId="0" borderId="55" xfId="0" applyNumberFormat="1" applyFont="1" applyBorder="1" applyAlignment="1">
      <alignment horizontal="center"/>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36" fillId="0" borderId="43" xfId="49" applyFont="1" applyFill="1" applyBorder="1" applyAlignment="1">
      <alignment horizontal="center" vertical="top" wrapText="1"/>
    </xf>
    <xf numFmtId="0" fontId="36" fillId="0" borderId="44" xfId="49" applyFont="1" applyFill="1" applyBorder="1" applyAlignment="1">
      <alignment horizontal="center" vertical="top" wrapText="1"/>
    </xf>
    <xf numFmtId="0" fontId="36" fillId="0" borderId="45" xfId="49" applyFont="1" applyFill="1" applyBorder="1" applyAlignment="1">
      <alignment horizontal="center" vertical="top" wrapText="1"/>
    </xf>
    <xf numFmtId="0" fontId="37" fillId="34" borderId="49" xfId="49" applyFont="1" applyFill="1" applyBorder="1" applyAlignment="1">
      <alignment horizontal="center" vertical="center" wrapText="1"/>
    </xf>
    <xf numFmtId="0" fontId="36" fillId="34" borderId="66" xfId="49" applyFont="1" applyFill="1" applyBorder="1" applyAlignment="1">
      <alignment horizontal="center" vertical="center" wrapText="1"/>
    </xf>
    <xf numFmtId="0" fontId="36" fillId="34" borderId="67" xfId="49" applyFont="1" applyFill="1" applyBorder="1" applyAlignment="1">
      <alignment horizontal="center" vertical="center" wrapText="1"/>
    </xf>
    <xf numFmtId="0" fontId="36" fillId="0" borderId="22" xfId="49" applyFont="1" applyFill="1" applyBorder="1" applyAlignment="1">
      <alignment horizontal="left" vertical="top" wrapText="1"/>
    </xf>
    <xf numFmtId="0" fontId="36" fillId="0" borderId="10" xfId="49" applyFont="1" applyFill="1" applyBorder="1" applyAlignment="1">
      <alignment horizontal="left" vertical="top" wrapText="1"/>
    </xf>
    <xf numFmtId="0" fontId="36" fillId="0" borderId="23" xfId="49" applyFont="1" applyFill="1" applyBorder="1" applyAlignment="1">
      <alignment horizontal="left" vertical="top" wrapText="1"/>
    </xf>
    <xf numFmtId="0" fontId="36" fillId="0" borderId="52" xfId="49" applyFont="1" applyFill="1" applyBorder="1" applyAlignment="1">
      <alignment horizontal="left" vertical="top" wrapText="1"/>
    </xf>
    <xf numFmtId="0" fontId="36" fillId="0" borderId="30" xfId="49" applyFont="1" applyFill="1" applyBorder="1" applyAlignment="1">
      <alignment horizontal="left" vertical="top" wrapText="1"/>
    </xf>
    <xf numFmtId="0" fontId="36" fillId="0" borderId="23" xfId="49" applyFont="1" applyFill="1" applyBorder="1" applyAlignment="1">
      <alignment horizontal="center" vertical="top" wrapText="1"/>
    </xf>
    <xf numFmtId="0" fontId="36" fillId="0" borderId="25" xfId="49" applyFont="1" applyFill="1" applyBorder="1" applyAlignment="1">
      <alignment horizontal="center" vertical="top" wrapText="1"/>
    </xf>
    <xf numFmtId="0" fontId="36" fillId="0" borderId="71" xfId="49" applyFont="1" applyFill="1" applyBorder="1" applyAlignment="1">
      <alignment horizontal="left" vertical="top" wrapText="1"/>
    </xf>
    <xf numFmtId="0" fontId="36" fillId="0" borderId="72" xfId="49" applyFont="1" applyFill="1" applyBorder="1" applyAlignment="1">
      <alignment horizontal="left" vertical="top" wrapText="1"/>
    </xf>
    <xf numFmtId="0" fontId="40" fillId="0" borderId="56" xfId="49" applyFont="1" applyFill="1" applyBorder="1" applyAlignment="1">
      <alignment horizontal="left" vertical="top" wrapText="1"/>
    </xf>
    <xf numFmtId="0" fontId="40" fillId="0" borderId="57" xfId="49" applyFont="1" applyFill="1" applyBorder="1" applyAlignment="1">
      <alignment horizontal="left" vertical="top" wrapText="1"/>
    </xf>
    <xf numFmtId="0" fontId="40" fillId="0" borderId="52" xfId="49" applyFont="1" applyFill="1" applyBorder="1" applyAlignment="1">
      <alignment horizontal="right" vertical="top" wrapText="1"/>
    </xf>
    <xf numFmtId="0" fontId="40" fillId="0" borderId="30" xfId="49" applyFont="1" applyFill="1" applyBorder="1" applyAlignment="1">
      <alignment horizontal="right" vertical="top" wrapText="1"/>
    </xf>
    <xf numFmtId="0" fontId="36" fillId="0" borderId="43" xfId="49" applyFont="1" applyFill="1" applyBorder="1" applyAlignment="1">
      <alignment horizontal="right" vertical="top" wrapText="1"/>
    </xf>
    <xf numFmtId="0" fontId="36" fillId="0" borderId="44" xfId="49" applyFont="1" applyFill="1" applyBorder="1" applyAlignment="1">
      <alignment horizontal="right" vertical="top" wrapText="1"/>
    </xf>
    <xf numFmtId="0" fontId="41" fillId="0" borderId="26" xfId="49" applyFont="1" applyFill="1" applyBorder="1" applyAlignment="1">
      <alignment horizontal="center" vertical="top"/>
    </xf>
    <xf numFmtId="0" fontId="41" fillId="0" borderId="27" xfId="49" applyFont="1" applyFill="1" applyBorder="1" applyAlignment="1">
      <alignment horizontal="center" vertical="top"/>
    </xf>
    <xf numFmtId="0" fontId="41" fillId="0" borderId="50" xfId="49" applyFont="1" applyFill="1" applyBorder="1" applyAlignment="1">
      <alignment horizontal="center" vertical="top"/>
    </xf>
    <xf numFmtId="0" fontId="36" fillId="34" borderId="24" xfId="49" applyFont="1" applyFill="1" applyBorder="1" applyAlignment="1">
      <alignment horizontal="left" vertical="top" wrapText="1"/>
    </xf>
    <xf numFmtId="0" fontId="36" fillId="34" borderId="35" xfId="49" applyFont="1" applyFill="1" applyBorder="1" applyAlignment="1">
      <alignment horizontal="left" vertical="top" wrapText="1"/>
    </xf>
    <xf numFmtId="0" fontId="36" fillId="0" borderId="20" xfId="49" applyFont="1" applyFill="1" applyBorder="1" applyAlignment="1">
      <alignment horizontal="right" vertical="top" wrapText="1"/>
    </xf>
    <xf numFmtId="0" fontId="36" fillId="0" borderId="34" xfId="49" applyFont="1" applyFill="1" applyBorder="1" applyAlignment="1">
      <alignment horizontal="right" vertical="top" wrapText="1"/>
    </xf>
    <xf numFmtId="0" fontId="37" fillId="0" borderId="22" xfId="49" applyFont="1" applyFill="1" applyBorder="1" applyAlignment="1">
      <alignment horizontal="right" vertical="top" wrapText="1"/>
    </xf>
    <xf numFmtId="0" fontId="36" fillId="0" borderId="10" xfId="49" applyFont="1" applyFill="1" applyBorder="1" applyAlignment="1">
      <alignment horizontal="right" vertical="top" wrapText="1"/>
    </xf>
    <xf numFmtId="0" fontId="16" fillId="0" borderId="66" xfId="0" applyFont="1" applyBorder="1" applyAlignment="1">
      <alignment horizontal="center"/>
    </xf>
    <xf numFmtId="0" fontId="16" fillId="0" borderId="67" xfId="0" applyFont="1" applyBorder="1" applyAlignment="1">
      <alignment horizontal="center"/>
    </xf>
    <xf numFmtId="0" fontId="16" fillId="0" borderId="49" xfId="0" applyFont="1" applyBorder="1" applyAlignment="1">
      <alignment horizontal="center"/>
    </xf>
    <xf numFmtId="0" fontId="16" fillId="0" borderId="54" xfId="0" applyFont="1" applyBorder="1" applyAlignment="1">
      <alignment horizontal="center"/>
    </xf>
    <xf numFmtId="0" fontId="16" fillId="0" borderId="49" xfId="0" applyFont="1" applyBorder="1" applyAlignment="1">
      <alignment horizontal="center" wrapText="1"/>
    </xf>
    <xf numFmtId="0" fontId="16" fillId="0" borderId="67" xfId="0" applyFont="1" applyBorder="1" applyAlignment="1">
      <alignment horizontal="center" wrapText="1"/>
    </xf>
    <xf numFmtId="0" fontId="16" fillId="0" borderId="66" xfId="0" applyFont="1" applyBorder="1" applyAlignment="1">
      <alignment horizontal="center" wrapText="1"/>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46"/>
    <cellStyle name="Currency" xfId="1"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5" builtinId="8"/>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49"/>
    <cellStyle name="Normal_KSP Crash Data" xfId="48"/>
    <cellStyle name="Normal_KSP Crash Data_1" xfId="5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bea.gov/scb/account_articles/national/wlth2594/tableC.htm" TargetMode="External"/><Relationship Id="rId2" Type="http://schemas.openxmlformats.org/officeDocument/2006/relationships/hyperlink" Target="http://www.weather.gov/media/lmk/climate/clilex/seasonal_av_temp_total_precip_total_snow_lex.pdf" TargetMode="External"/><Relationship Id="rId1" Type="http://schemas.openxmlformats.org/officeDocument/2006/relationships/hyperlink" Target="http://www.bestplaces.net/climate/city/kentucky/lexington-fayette" TargetMode="External"/><Relationship Id="rId5" Type="http://schemas.openxmlformats.org/officeDocument/2006/relationships/printerSettings" Target="../printerSettings/printerSettings8.bin"/><Relationship Id="rId4" Type="http://schemas.openxmlformats.org/officeDocument/2006/relationships/hyperlink" Target="http://www.nyc.gov/html/om/pdf/bike_lanes_memo.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
  <sheetViews>
    <sheetView workbookViewId="0">
      <selection activeCell="B2" sqref="B2"/>
    </sheetView>
  </sheetViews>
  <sheetFormatPr defaultRowHeight="15" x14ac:dyDescent="0.25"/>
  <cols>
    <col min="2" max="8" width="20.7109375" style="233" customWidth="1"/>
  </cols>
  <sheetData>
    <row r="1" spans="2:8" x14ac:dyDescent="0.25">
      <c r="B1" s="615" t="s">
        <v>812</v>
      </c>
      <c r="C1" s="616"/>
      <c r="D1" s="616"/>
      <c r="E1" s="616"/>
      <c r="F1" s="616"/>
      <c r="G1" s="616"/>
      <c r="H1" s="617"/>
    </row>
    <row r="2" spans="2:8" ht="24" x14ac:dyDescent="0.25">
      <c r="B2" s="361" t="s">
        <v>680</v>
      </c>
      <c r="C2" s="359" t="s">
        <v>681</v>
      </c>
      <c r="D2" s="359" t="s">
        <v>682</v>
      </c>
      <c r="E2" s="359" t="s">
        <v>683</v>
      </c>
      <c r="F2" s="359" t="s">
        <v>684</v>
      </c>
      <c r="G2" s="359" t="s">
        <v>685</v>
      </c>
      <c r="H2" s="362" t="s">
        <v>686</v>
      </c>
    </row>
    <row r="3" spans="2:8" ht="90" x14ac:dyDescent="0.25">
      <c r="B3" s="363" t="s">
        <v>687</v>
      </c>
      <c r="C3" s="360" t="s">
        <v>688</v>
      </c>
      <c r="D3" s="360" t="s">
        <v>689</v>
      </c>
      <c r="E3" s="443" t="s">
        <v>787</v>
      </c>
      <c r="F3" s="443" t="s">
        <v>690</v>
      </c>
      <c r="G3" s="443" t="s">
        <v>801</v>
      </c>
      <c r="H3" s="596" t="s">
        <v>805</v>
      </c>
    </row>
    <row r="4" spans="2:8" ht="90" x14ac:dyDescent="0.25">
      <c r="B4" s="363" t="s">
        <v>691</v>
      </c>
      <c r="C4" s="443" t="str">
        <f>"A "&amp;Inputs!B13&amp;"-mile bicycle and pedestrian trail and associated complete streets project that connects existing regional network."</f>
        <v>A 2.65-mile bicycle and pedestrian trail and associated complete streets project that connects existing regional network.</v>
      </c>
      <c r="D4" s="360" t="s">
        <v>692</v>
      </c>
      <c r="E4" s="443" t="s">
        <v>790</v>
      </c>
      <c r="F4" s="443" t="s">
        <v>693</v>
      </c>
      <c r="G4" s="443" t="s">
        <v>802</v>
      </c>
      <c r="H4" s="596" t="s">
        <v>806</v>
      </c>
    </row>
    <row r="5" spans="2:8" s="4" customFormat="1" ht="43.5" customHeight="1" x14ac:dyDescent="0.25">
      <c r="B5" s="363" t="s">
        <v>782</v>
      </c>
      <c r="C5" s="443" t="s">
        <v>783</v>
      </c>
      <c r="D5" s="360" t="s">
        <v>784</v>
      </c>
      <c r="E5" s="443" t="s">
        <v>788</v>
      </c>
      <c r="F5" s="443" t="s">
        <v>785</v>
      </c>
      <c r="G5" s="443" t="s">
        <v>803</v>
      </c>
      <c r="H5" s="596" t="s">
        <v>807</v>
      </c>
    </row>
    <row r="6" spans="2:8" ht="45.75" thickBot="1" x14ac:dyDescent="0.3">
      <c r="B6" s="597" t="s">
        <v>694</v>
      </c>
      <c r="C6" s="598" t="s">
        <v>695</v>
      </c>
      <c r="D6" s="598" t="s">
        <v>696</v>
      </c>
      <c r="E6" s="599" t="s">
        <v>789</v>
      </c>
      <c r="F6" s="599" t="s">
        <v>697</v>
      </c>
      <c r="G6" s="599" t="s">
        <v>804</v>
      </c>
      <c r="H6" s="600" t="s">
        <v>808</v>
      </c>
    </row>
  </sheetData>
  <sheetProtection password="891C" sheet="1" objects="1" scenarios="1"/>
  <mergeCells count="1">
    <mergeCell ref="B1:H1"/>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
  <sheetViews>
    <sheetView topLeftCell="BN1" zoomScale="60" zoomScaleNormal="60" workbookViewId="0">
      <selection activeCell="BP51" sqref="BP51"/>
    </sheetView>
  </sheetViews>
  <sheetFormatPr defaultRowHeight="15" x14ac:dyDescent="0.25"/>
  <cols>
    <col min="1" max="1" width="14.7109375" style="450" customWidth="1"/>
    <col min="2" max="7" width="14.7109375" style="491" customWidth="1"/>
    <col min="8" max="8" width="14.7109375" style="530" customWidth="1"/>
    <col min="9" max="20" width="14.7109375" style="491" customWidth="1"/>
    <col min="21" max="39" width="14.7109375" style="450" customWidth="1"/>
    <col min="40" max="58" width="14.7109375" style="450" hidden="1" customWidth="1"/>
    <col min="59" max="77" width="14.7109375" style="450" customWidth="1"/>
    <col min="78" max="16384" width="9.140625" style="450"/>
  </cols>
  <sheetData>
    <row r="1" spans="1:81" x14ac:dyDescent="0.25">
      <c r="A1" s="486"/>
      <c r="B1" s="665" t="s">
        <v>145</v>
      </c>
      <c r="C1" s="665"/>
      <c r="D1" s="665"/>
      <c r="E1" s="665"/>
      <c r="F1" s="665"/>
      <c r="G1" s="665"/>
      <c r="H1" s="665"/>
      <c r="I1" s="665"/>
      <c r="J1" s="665"/>
      <c r="K1" s="665"/>
      <c r="L1" s="665"/>
      <c r="M1" s="665"/>
      <c r="N1" s="665"/>
      <c r="O1" s="665"/>
      <c r="P1" s="665"/>
      <c r="Q1" s="665"/>
      <c r="R1" s="665"/>
      <c r="S1" s="665"/>
      <c r="T1" s="665"/>
      <c r="U1" s="665" t="s">
        <v>146</v>
      </c>
      <c r="V1" s="665"/>
      <c r="W1" s="665"/>
      <c r="X1" s="665"/>
      <c r="Y1" s="665"/>
      <c r="Z1" s="665"/>
      <c r="AA1" s="665"/>
      <c r="AB1" s="665"/>
      <c r="AC1" s="665"/>
      <c r="AD1" s="665"/>
      <c r="AE1" s="665"/>
      <c r="AF1" s="665"/>
      <c r="AG1" s="665"/>
      <c r="AH1" s="665"/>
      <c r="AI1" s="665"/>
      <c r="AJ1" s="665"/>
      <c r="AK1" s="665"/>
      <c r="AL1" s="665"/>
      <c r="AM1" s="665"/>
      <c r="AN1" s="665" t="s">
        <v>147</v>
      </c>
      <c r="AO1" s="665"/>
      <c r="AP1" s="665"/>
      <c r="AQ1" s="665"/>
      <c r="AR1" s="665"/>
      <c r="AS1" s="665"/>
      <c r="AT1" s="665"/>
      <c r="AU1" s="665"/>
      <c r="AV1" s="665"/>
      <c r="AW1" s="665"/>
      <c r="AX1" s="665"/>
      <c r="AY1" s="665"/>
      <c r="AZ1" s="665"/>
      <c r="BA1" s="665"/>
      <c r="BB1" s="665"/>
      <c r="BC1" s="665"/>
      <c r="BD1" s="665"/>
      <c r="BE1" s="665"/>
      <c r="BF1" s="665"/>
      <c r="BG1" s="665" t="s">
        <v>158</v>
      </c>
      <c r="BH1" s="665"/>
      <c r="BI1" s="665"/>
      <c r="BJ1" s="665"/>
      <c r="BK1" s="665"/>
      <c r="BL1" s="665"/>
      <c r="BM1" s="665"/>
      <c r="BN1" s="665"/>
      <c r="BO1" s="665"/>
      <c r="BP1" s="665"/>
      <c r="BQ1" s="665"/>
      <c r="BR1" s="665"/>
      <c r="BS1" s="665"/>
      <c r="BT1" s="665"/>
      <c r="BU1" s="665"/>
      <c r="BV1" s="665"/>
      <c r="BW1" s="665"/>
      <c r="BX1" s="665"/>
      <c r="BY1" s="665"/>
    </row>
    <row r="2" spans="1:81" s="451" customFormat="1" ht="85.5" x14ac:dyDescent="0.25">
      <c r="A2" s="304" t="s">
        <v>132</v>
      </c>
      <c r="B2" s="542" t="s">
        <v>96</v>
      </c>
      <c r="C2" s="542" t="s">
        <v>20</v>
      </c>
      <c r="D2" s="542" t="s">
        <v>97</v>
      </c>
      <c r="E2" s="543" t="s">
        <v>148</v>
      </c>
      <c r="F2" s="543" t="s">
        <v>149</v>
      </c>
      <c r="G2" s="543" t="s">
        <v>150</v>
      </c>
      <c r="H2" s="543" t="s">
        <v>151</v>
      </c>
      <c r="I2" s="542" t="s">
        <v>119</v>
      </c>
      <c r="J2" s="542" t="s">
        <v>120</v>
      </c>
      <c r="K2" s="542" t="s">
        <v>121</v>
      </c>
      <c r="L2" s="542" t="s">
        <v>152</v>
      </c>
      <c r="M2" s="542" t="s">
        <v>153</v>
      </c>
      <c r="N2" s="542" t="s">
        <v>154</v>
      </c>
      <c r="O2" s="543" t="s">
        <v>122</v>
      </c>
      <c r="P2" s="543" t="s">
        <v>123</v>
      </c>
      <c r="Q2" s="543" t="s">
        <v>124</v>
      </c>
      <c r="R2" s="543" t="s">
        <v>155</v>
      </c>
      <c r="S2" s="543" t="s">
        <v>156</v>
      </c>
      <c r="T2" s="543" t="s">
        <v>157</v>
      </c>
      <c r="U2" s="542" t="s">
        <v>96</v>
      </c>
      <c r="V2" s="542" t="s">
        <v>20</v>
      </c>
      <c r="W2" s="542" t="s">
        <v>97</v>
      </c>
      <c r="X2" s="543" t="s">
        <v>148</v>
      </c>
      <c r="Y2" s="543" t="s">
        <v>149</v>
      </c>
      <c r="Z2" s="543" t="s">
        <v>150</v>
      </c>
      <c r="AA2" s="543" t="s">
        <v>151</v>
      </c>
      <c r="AB2" s="542" t="s">
        <v>119</v>
      </c>
      <c r="AC2" s="542" t="s">
        <v>120</v>
      </c>
      <c r="AD2" s="542" t="s">
        <v>121</v>
      </c>
      <c r="AE2" s="542" t="s">
        <v>152</v>
      </c>
      <c r="AF2" s="542" t="s">
        <v>153</v>
      </c>
      <c r="AG2" s="542" t="s">
        <v>154</v>
      </c>
      <c r="AH2" s="543" t="s">
        <v>122</v>
      </c>
      <c r="AI2" s="543" t="s">
        <v>123</v>
      </c>
      <c r="AJ2" s="543" t="s">
        <v>124</v>
      </c>
      <c r="AK2" s="543" t="s">
        <v>155</v>
      </c>
      <c r="AL2" s="543" t="s">
        <v>156</v>
      </c>
      <c r="AM2" s="543" t="s">
        <v>157</v>
      </c>
      <c r="AN2" s="542" t="s">
        <v>96</v>
      </c>
      <c r="AO2" s="542" t="s">
        <v>20</v>
      </c>
      <c r="AP2" s="542" t="s">
        <v>97</v>
      </c>
      <c r="AQ2" s="543" t="s">
        <v>148</v>
      </c>
      <c r="AR2" s="543" t="s">
        <v>149</v>
      </c>
      <c r="AS2" s="543" t="s">
        <v>150</v>
      </c>
      <c r="AT2" s="543" t="s">
        <v>151</v>
      </c>
      <c r="AU2" s="542" t="s">
        <v>119</v>
      </c>
      <c r="AV2" s="542" t="s">
        <v>120</v>
      </c>
      <c r="AW2" s="542" t="s">
        <v>121</v>
      </c>
      <c r="AX2" s="542" t="s">
        <v>152</v>
      </c>
      <c r="AY2" s="542" t="s">
        <v>153</v>
      </c>
      <c r="AZ2" s="542" t="s">
        <v>154</v>
      </c>
      <c r="BA2" s="543" t="s">
        <v>122</v>
      </c>
      <c r="BB2" s="543" t="s">
        <v>123</v>
      </c>
      <c r="BC2" s="543" t="s">
        <v>124</v>
      </c>
      <c r="BD2" s="543" t="s">
        <v>155</v>
      </c>
      <c r="BE2" s="543" t="s">
        <v>156</v>
      </c>
      <c r="BF2" s="543" t="s">
        <v>157</v>
      </c>
      <c r="BG2" s="542" t="s">
        <v>96</v>
      </c>
      <c r="BH2" s="542" t="s">
        <v>20</v>
      </c>
      <c r="BI2" s="542" t="s">
        <v>97</v>
      </c>
      <c r="BJ2" s="543" t="s">
        <v>148</v>
      </c>
      <c r="BK2" s="543" t="s">
        <v>149</v>
      </c>
      <c r="BL2" s="543" t="s">
        <v>150</v>
      </c>
      <c r="BM2" s="543" t="s">
        <v>151</v>
      </c>
      <c r="BN2" s="542" t="s">
        <v>119</v>
      </c>
      <c r="BO2" s="542" t="s">
        <v>120</v>
      </c>
      <c r="BP2" s="542" t="s">
        <v>121</v>
      </c>
      <c r="BQ2" s="542" t="s">
        <v>152</v>
      </c>
      <c r="BR2" s="542" t="s">
        <v>153</v>
      </c>
      <c r="BS2" s="542" t="s">
        <v>154</v>
      </c>
      <c r="BT2" s="543" t="s">
        <v>122</v>
      </c>
      <c r="BU2" s="543" t="s">
        <v>123</v>
      </c>
      <c r="BV2" s="543" t="s">
        <v>124</v>
      </c>
      <c r="BW2" s="543" t="s">
        <v>155</v>
      </c>
      <c r="BX2" s="543" t="s">
        <v>156</v>
      </c>
      <c r="BY2" s="543" t="s">
        <v>157</v>
      </c>
    </row>
    <row r="3" spans="1:81" x14ac:dyDescent="0.25">
      <c r="A3" s="486">
        <v>2014</v>
      </c>
      <c r="B3" s="479">
        <f>'Estimating Users Methodology'!B4</f>
        <v>4027.333333333333</v>
      </c>
      <c r="C3" s="479">
        <f>'Estimating Users Methodology'!B5</f>
        <v>3437.2490000000003</v>
      </c>
      <c r="D3" s="479">
        <f>'Estimating Users Methodology'!B6</f>
        <v>1963.8153333333332</v>
      </c>
      <c r="E3" s="544">
        <f>'Estimating Users Methodology'!B8</f>
        <v>286.71703866666661</v>
      </c>
      <c r="F3" s="544">
        <f>'Estimating Users Methodology'!B9</f>
        <v>100.15458199999999</v>
      </c>
      <c r="G3" s="544">
        <f>SUM(E3:F3)</f>
        <v>386.87162066666662</v>
      </c>
      <c r="H3" s="544">
        <f>'Bicycle Users'!G3</f>
        <v>0</v>
      </c>
      <c r="I3" s="479">
        <f>'Bicycle Users'!H3*10</f>
        <v>0</v>
      </c>
      <c r="J3" s="479">
        <f>'Bicycle Users'!I3*10</f>
        <v>286.7399253333333</v>
      </c>
      <c r="K3" s="479">
        <f>'Bicycle Users'!J3*10</f>
        <v>1698.7345933333336</v>
      </c>
      <c r="L3" s="479">
        <f>'Bicycle Users'!K3*10</f>
        <v>0</v>
      </c>
      <c r="M3" s="479">
        <f>'Bicycle Users'!L3*10</f>
        <v>0</v>
      </c>
      <c r="N3" s="479">
        <f>'Bicycle Users'!M3*10</f>
        <v>0</v>
      </c>
      <c r="O3" s="544">
        <f>SUM(G3,I3)</f>
        <v>386.87162066666662</v>
      </c>
      <c r="P3" s="544">
        <f>SUM(G3,J3)</f>
        <v>673.61154599999986</v>
      </c>
      <c r="Q3" s="544">
        <f>SUM(G3,K3)</f>
        <v>2085.6062140000004</v>
      </c>
      <c r="R3" s="544">
        <f>SUM(H3,L3)</f>
        <v>0</v>
      </c>
      <c r="S3" s="544">
        <f>SUM(H3,M3)</f>
        <v>0</v>
      </c>
      <c r="T3" s="544">
        <f>SUM(H3,N3)</f>
        <v>0</v>
      </c>
      <c r="U3" s="479">
        <f>'Estimating Users Methodology'!C4</f>
        <v>12230.5</v>
      </c>
      <c r="V3" s="479">
        <f>'Estimating Users Methodology'!C5</f>
        <v>9141.2010000000009</v>
      </c>
      <c r="W3" s="479">
        <f>'Estimating Users Methodology'!C6</f>
        <v>5199.0863333333327</v>
      </c>
      <c r="X3" s="544">
        <f>'Estimating Users Methodology'!C8</f>
        <v>582.29766933333326</v>
      </c>
      <c r="Y3" s="544">
        <f>'Estimating Users Methodology'!C9</f>
        <v>223.5607123333333</v>
      </c>
      <c r="Z3" s="544">
        <f t="shared" ref="Z3:Z36" si="0">SUM(X3:Y3)</f>
        <v>805.85838166666656</v>
      </c>
      <c r="AA3" s="544">
        <f>'Bicycle Users'!X3</f>
        <v>0</v>
      </c>
      <c r="AB3" s="479">
        <f>'Bicycle Users'!Y3*10</f>
        <v>0</v>
      </c>
      <c r="AC3" s="479">
        <f>'Bicycle Users'!Z3*10</f>
        <v>739.98225599999978</v>
      </c>
      <c r="AD3" s="479">
        <f>'Bicycle Users'!AA3*10</f>
        <v>4291.8142199999984</v>
      </c>
      <c r="AE3" s="479">
        <f>'Bicycle Users'!AB3*10</f>
        <v>0</v>
      </c>
      <c r="AF3" s="479">
        <f>'Bicycle Users'!AC3*10</f>
        <v>0</v>
      </c>
      <c r="AG3" s="479">
        <f>'Bicycle Users'!AD3*10</f>
        <v>0</v>
      </c>
      <c r="AH3" s="544">
        <f>SUM(Z3,AB3)</f>
        <v>805.85838166666656</v>
      </c>
      <c r="AI3" s="544">
        <f>SUM(Z3,AC3)</f>
        <v>1545.8406376666662</v>
      </c>
      <c r="AJ3" s="544">
        <f>SUM(Z3,AD3)</f>
        <v>5097.6726016666653</v>
      </c>
      <c r="AK3" s="544">
        <f>SUM(AA3,AE3)</f>
        <v>0</v>
      </c>
      <c r="AL3" s="544">
        <f>SUM(AA3,AF3)</f>
        <v>0</v>
      </c>
      <c r="AM3" s="544">
        <f>SUM(AA3,AG3)</f>
        <v>0</v>
      </c>
      <c r="AN3" s="479">
        <f>'Estimating Users Methodology'!D4</f>
        <v>13822</v>
      </c>
      <c r="AO3" s="479">
        <f>'Estimating Users Methodology'!D5</f>
        <v>10552.014999999999</v>
      </c>
      <c r="AP3" s="479">
        <f>'Estimating Users Methodology'!D6</f>
        <v>6303.2976666666664</v>
      </c>
      <c r="AQ3" s="544">
        <f>'Estimating Users Methodology'!D8</f>
        <v>579.90338533333329</v>
      </c>
      <c r="AR3" s="544">
        <f>'Estimating Users Methodology'!D9</f>
        <v>296.2549903333333</v>
      </c>
      <c r="AS3" s="544">
        <f t="shared" ref="AS3:AS36" si="1">SUM(AQ3:AR3)</f>
        <v>876.15837566666664</v>
      </c>
      <c r="AT3" s="544">
        <v>0</v>
      </c>
      <c r="AU3" s="479">
        <f t="shared" ref="AU3:AU38" si="2">BA3-AS3</f>
        <v>0</v>
      </c>
      <c r="AV3" s="479">
        <f t="shared" ref="AV3:AV38" si="3">BB3-AS3</f>
        <v>217.43973513333322</v>
      </c>
      <c r="AW3" s="479">
        <f t="shared" ref="AW3:AX36" si="4">BC3-AS3</f>
        <v>1815.628841333333</v>
      </c>
      <c r="AX3" s="479">
        <v>0</v>
      </c>
      <c r="AY3" s="479">
        <v>0</v>
      </c>
      <c r="AZ3" s="479">
        <v>0</v>
      </c>
      <c r="BA3" s="544">
        <f t="shared" ref="BA3:BA38" si="5">AS3</f>
        <v>876.15837566666664</v>
      </c>
      <c r="BB3" s="544">
        <f t="shared" ref="BB3:BB38" si="6">(0.004*AO3)+(1.2*AS3)</f>
        <v>1093.5981107999999</v>
      </c>
      <c r="BC3" s="544">
        <f t="shared" ref="BC3:BC38" si="7">(0.006*AO3)+(3*AS3)</f>
        <v>2691.7872169999996</v>
      </c>
      <c r="BD3" s="544">
        <v>0</v>
      </c>
      <c r="BE3" s="544">
        <v>0</v>
      </c>
      <c r="BF3" s="544">
        <v>0</v>
      </c>
      <c r="BG3" s="479">
        <f t="shared" ref="BG3:BG38" si="8">SUM(B3,U3)</f>
        <v>16257.833333333332</v>
      </c>
      <c r="BH3" s="479">
        <f t="shared" ref="BH3:BH38" si="9">SUM(C3,V3)</f>
        <v>12578.45</v>
      </c>
      <c r="BI3" s="479">
        <f t="shared" ref="BI3:BI38" si="10">SUM(D3,W3)</f>
        <v>7162.9016666666657</v>
      </c>
      <c r="BJ3" s="544">
        <f t="shared" ref="BJ3:BJ38" si="11">SUM(E3,X3)</f>
        <v>869.01470799999993</v>
      </c>
      <c r="BK3" s="544">
        <f t="shared" ref="BK3:BK38" si="12">SUM(F3,Y3)</f>
        <v>323.7152943333333</v>
      </c>
      <c r="BL3" s="544">
        <f t="shared" ref="BL3:BL38" si="13">SUM(G3,Z3)</f>
        <v>1192.7300023333332</v>
      </c>
      <c r="BM3" s="544">
        <f t="shared" ref="BM3:BM38" si="14">SUM(H3,AA3)</f>
        <v>0</v>
      </c>
      <c r="BN3" s="479">
        <f>SUM(I3,AB3)</f>
        <v>0</v>
      </c>
      <c r="BO3" s="479">
        <f t="shared" ref="BO3:BO38" si="15">SUM(J3,AC3)</f>
        <v>1026.7221813333331</v>
      </c>
      <c r="BP3" s="479">
        <f t="shared" ref="BP3:BP38" si="16">SUM(K3,AD3)</f>
        <v>5990.548813333332</v>
      </c>
      <c r="BQ3" s="479">
        <f t="shared" ref="BQ3:BQ38" si="17">SUM(L3,AE3)</f>
        <v>0</v>
      </c>
      <c r="BR3" s="479">
        <f t="shared" ref="BR3:BR38" si="18">SUM(M3,AF3)</f>
        <v>0</v>
      </c>
      <c r="BS3" s="479">
        <f t="shared" ref="BS3:BS38" si="19">SUM(N3,AG3)</f>
        <v>0</v>
      </c>
      <c r="BT3" s="544">
        <f t="shared" ref="BT3:BT38" si="20">SUM(O3,AH3)</f>
        <v>1192.7300023333332</v>
      </c>
      <c r="BU3" s="544">
        <f t="shared" ref="BU3:BU38" si="21">SUM(P3,AI3)</f>
        <v>2219.4521836666663</v>
      </c>
      <c r="BV3" s="544">
        <f t="shared" ref="BV3:BV38" si="22">SUM(Q3,AJ3)</f>
        <v>7183.2788156666657</v>
      </c>
      <c r="BW3" s="544">
        <f t="shared" ref="BW3:BW38" si="23">SUM(R3,AK3)</f>
        <v>0</v>
      </c>
      <c r="BX3" s="544">
        <f t="shared" ref="BX3:BX38" si="24">SUM(S3,AL3)</f>
        <v>0</v>
      </c>
      <c r="BY3" s="544">
        <f t="shared" ref="BY3:BY38" si="25">SUM(T3,AM3)</f>
        <v>0</v>
      </c>
      <c r="CB3" s="491"/>
      <c r="CC3" s="491"/>
    </row>
    <row r="4" spans="1:81" x14ac:dyDescent="0.25">
      <c r="A4" s="486">
        <v>2015</v>
      </c>
      <c r="B4" s="479">
        <f>B3*(1+'Fayette County Statistics'!$L$5)</f>
        <v>4072.4409403460149</v>
      </c>
      <c r="C4" s="479">
        <f>C3*(1+'Fayette County Statistics'!$L$5)</f>
        <v>3475.7474465560508</v>
      </c>
      <c r="D4" s="479">
        <f>D3*(1+'Fayette County Statistics'!$L$5)</f>
        <v>1985.8107836647714</v>
      </c>
      <c r="E4" s="544">
        <f>E3*(1+'Fayette County Statistics'!$L$5)</f>
        <v>289.92837441505657</v>
      </c>
      <c r="F4" s="544">
        <f>F3*(1+'Fayette County Statistics'!$L$5)</f>
        <v>101.27634996690334</v>
      </c>
      <c r="G4" s="544">
        <f t="shared" ref="G4:G36" si="26">SUM(E4:F4)</f>
        <v>391.20472438195992</v>
      </c>
      <c r="H4" s="544">
        <f>'Bicycle Users'!G4</f>
        <v>0</v>
      </c>
      <c r="I4" s="479">
        <f>'Bicycle Users'!H4*10</f>
        <v>0</v>
      </c>
      <c r="J4" s="479">
        <f>'Bicycle Users'!I4*10</f>
        <v>289.95151742076473</v>
      </c>
      <c r="K4" s="479">
        <f>'Bicycle Users'!J4*10</f>
        <v>1717.7610423785895</v>
      </c>
      <c r="L4" s="479">
        <f>'Bicycle Users'!K4*10</f>
        <v>0</v>
      </c>
      <c r="M4" s="479">
        <f>'Bicycle Users'!L4*10</f>
        <v>0</v>
      </c>
      <c r="N4" s="479">
        <f>'Bicycle Users'!M4*10</f>
        <v>0</v>
      </c>
      <c r="O4" s="544">
        <f t="shared" ref="O4:O38" si="27">SUM(G4,I4)</f>
        <v>391.20472438195992</v>
      </c>
      <c r="P4" s="544">
        <f t="shared" ref="P4:P38" si="28">SUM(G4,J4)</f>
        <v>681.15624180272471</v>
      </c>
      <c r="Q4" s="544">
        <f t="shared" ref="Q4:Q38" si="29">SUM(G4,K4)</f>
        <v>2108.9657667605493</v>
      </c>
      <c r="R4" s="544">
        <f t="shared" ref="R4:R38" si="30">SUM(H4,L4)</f>
        <v>0</v>
      </c>
      <c r="S4" s="544">
        <f t="shared" ref="S4:S38" si="31">SUM(H4,M4)</f>
        <v>0</v>
      </c>
      <c r="T4" s="544">
        <f t="shared" ref="T4:T38" si="32">SUM(H4,N4)</f>
        <v>0</v>
      </c>
      <c r="U4" s="479">
        <f>U3*(1+'Fayette County Statistics'!$L$5)</f>
        <v>12367.486075377075</v>
      </c>
      <c r="V4" s="479">
        <f>V3*(1+'Fayette County Statistics'!$L$5)</f>
        <v>9243.5857961426773</v>
      </c>
      <c r="W4" s="479">
        <f>W3*(1+'Fayette County Statistics'!$L$5)</f>
        <v>5257.3180027131557</v>
      </c>
      <c r="X4" s="544">
        <f>X3*(1+'Fayette County Statistics'!$L$5)</f>
        <v>588.81961630387343</v>
      </c>
      <c r="Y4" s="544">
        <f>Y3*(1+'Fayette County Statistics'!$L$5)</f>
        <v>226.06467411666566</v>
      </c>
      <c r="Z4" s="544">
        <f t="shared" si="0"/>
        <v>814.88429042053906</v>
      </c>
      <c r="AA4" s="544">
        <f>'Bicycle Users'!X4</f>
        <v>0</v>
      </c>
      <c r="AB4" s="479">
        <f>'Bicycle Users'!Y4*10</f>
        <v>0</v>
      </c>
      <c r="AC4" s="479">
        <f>'Bicycle Users'!Z4*10</f>
        <v>748.27032804105443</v>
      </c>
      <c r="AD4" s="479">
        <f>'Bicycle Users'!AA4*10</f>
        <v>4339.8841097220329</v>
      </c>
      <c r="AE4" s="479">
        <f>'Bicycle Users'!AB4*10</f>
        <v>0</v>
      </c>
      <c r="AF4" s="479">
        <f>'Bicycle Users'!AC4*10</f>
        <v>0</v>
      </c>
      <c r="AG4" s="479">
        <f>'Bicycle Users'!AD4*10</f>
        <v>0</v>
      </c>
      <c r="AH4" s="544">
        <f t="shared" ref="AH4:AH38" si="33">SUM(Z4,AB4)</f>
        <v>814.88429042053906</v>
      </c>
      <c r="AI4" s="544">
        <f t="shared" ref="AI4:AI38" si="34">SUM(Z4,AC4)</f>
        <v>1563.1546184615936</v>
      </c>
      <c r="AJ4" s="544">
        <f t="shared" ref="AJ4:AJ38" si="35">SUM(Z4,AD4)</f>
        <v>5154.7684001425723</v>
      </c>
      <c r="AK4" s="544">
        <f t="shared" ref="AK4:AK38" si="36">SUM(AA4,AE4)</f>
        <v>0</v>
      </c>
      <c r="AL4" s="544">
        <f t="shared" ref="AL4:AL38" si="37">SUM(AA4,AF4)</f>
        <v>0</v>
      </c>
      <c r="AM4" s="544">
        <f t="shared" ref="AM4:AM38" si="38">SUM(AA4,AG4)</f>
        <v>0</v>
      </c>
      <c r="AN4" s="479">
        <f>AN3*(1+'Fayette County Statistics'!$L$5)</f>
        <v>13976.81145773778</v>
      </c>
      <c r="AO4" s="479">
        <f>AO3*(1+'Fayette County Statistics'!$L$6)</f>
        <v>10675.649381861474</v>
      </c>
      <c r="AP4" s="479">
        <f>AP3*(1+'Fayette County Statistics'!$L$6)</f>
        <v>6377.1512681548384</v>
      </c>
      <c r="AQ4" s="544">
        <f>AQ3*(1+'Fayette County Statistics'!$L$6)</f>
        <v>586.69791667024515</v>
      </c>
      <c r="AR4" s="544">
        <f>AR3*(1+'Fayette County Statistics'!$L$6)</f>
        <v>299.72610960327739</v>
      </c>
      <c r="AS4" s="544">
        <f t="shared" si="1"/>
        <v>886.42402627352249</v>
      </c>
      <c r="AT4" s="544">
        <v>0</v>
      </c>
      <c r="AU4" s="479">
        <f t="shared" si="2"/>
        <v>0</v>
      </c>
      <c r="AV4" s="479">
        <f t="shared" si="3"/>
        <v>219.98740278215041</v>
      </c>
      <c r="AW4" s="479">
        <f t="shared" si="4"/>
        <v>1836.9019488382137</v>
      </c>
      <c r="AX4" s="479">
        <v>0</v>
      </c>
      <c r="AY4" s="479">
        <v>0</v>
      </c>
      <c r="AZ4" s="479">
        <v>0</v>
      </c>
      <c r="BA4" s="544">
        <f t="shared" si="5"/>
        <v>886.42402627352249</v>
      </c>
      <c r="BB4" s="544">
        <f t="shared" si="6"/>
        <v>1106.4114290556729</v>
      </c>
      <c r="BC4" s="544">
        <f t="shared" si="7"/>
        <v>2723.3259751117362</v>
      </c>
      <c r="BD4" s="544">
        <v>0</v>
      </c>
      <c r="BE4" s="544">
        <v>0</v>
      </c>
      <c r="BF4" s="544">
        <v>0</v>
      </c>
      <c r="BG4" s="479">
        <f t="shared" si="8"/>
        <v>16439.927015723089</v>
      </c>
      <c r="BH4" s="479">
        <f t="shared" si="9"/>
        <v>12719.333242698729</v>
      </c>
      <c r="BI4" s="479">
        <f t="shared" si="10"/>
        <v>7243.1287863779271</v>
      </c>
      <c r="BJ4" s="544">
        <f t="shared" si="11"/>
        <v>878.74799071892994</v>
      </c>
      <c r="BK4" s="544">
        <f t="shared" si="12"/>
        <v>327.34102408356898</v>
      </c>
      <c r="BL4" s="544">
        <f t="shared" si="13"/>
        <v>1206.0890148024989</v>
      </c>
      <c r="BM4" s="544">
        <f t="shared" si="14"/>
        <v>0</v>
      </c>
      <c r="BN4" s="479">
        <f t="shared" ref="BN4:BN38" si="39">SUM(I4,AB4)</f>
        <v>0</v>
      </c>
      <c r="BO4" s="479">
        <f t="shared" si="15"/>
        <v>1038.2218454618192</v>
      </c>
      <c r="BP4" s="479">
        <f t="shared" si="16"/>
        <v>6057.645152100622</v>
      </c>
      <c r="BQ4" s="479">
        <f t="shared" si="17"/>
        <v>0</v>
      </c>
      <c r="BR4" s="479">
        <f t="shared" si="18"/>
        <v>0</v>
      </c>
      <c r="BS4" s="479">
        <f t="shared" si="19"/>
        <v>0</v>
      </c>
      <c r="BT4" s="544">
        <f t="shared" si="20"/>
        <v>1206.0890148024989</v>
      </c>
      <c r="BU4" s="544">
        <f t="shared" si="21"/>
        <v>2244.3108602643183</v>
      </c>
      <c r="BV4" s="544">
        <f t="shared" si="22"/>
        <v>7263.7341669031211</v>
      </c>
      <c r="BW4" s="544">
        <f t="shared" si="23"/>
        <v>0</v>
      </c>
      <c r="BX4" s="544">
        <f t="shared" si="24"/>
        <v>0</v>
      </c>
      <c r="BY4" s="544">
        <f t="shared" si="25"/>
        <v>0</v>
      </c>
      <c r="CB4" s="491"/>
      <c r="CC4" s="491"/>
    </row>
    <row r="5" spans="1:81" x14ac:dyDescent="0.25">
      <c r="A5" s="486">
        <v>2016</v>
      </c>
      <c r="B5" s="479">
        <f>B4*(1+'Fayette County Statistics'!$L$5)</f>
        <v>4118.0537690629872</v>
      </c>
      <c r="C5" s="479">
        <f>C4*(1+'Fayette County Statistics'!$L$5)</f>
        <v>3514.6770898008572</v>
      </c>
      <c r="D5" s="479">
        <f>D4*(1+'Fayette County Statistics'!$L$5)</f>
        <v>2008.0525910884835</v>
      </c>
      <c r="E5" s="544">
        <f>E4*(1+'Fayette County Statistics'!$L$5)</f>
        <v>293.17567829891851</v>
      </c>
      <c r="F5" s="544">
        <f>F4*(1+'Fayette County Statistics'!$L$5)</f>
        <v>102.41068214551265</v>
      </c>
      <c r="G5" s="544">
        <f t="shared" si="26"/>
        <v>395.58636044443119</v>
      </c>
      <c r="H5" s="544">
        <f>'Bicycle Users'!G5</f>
        <v>0</v>
      </c>
      <c r="I5" s="479">
        <f>'Bicycle Users'!H5*10</f>
        <v>0</v>
      </c>
      <c r="J5" s="479">
        <f>'Bicycle Users'!I5*10</f>
        <v>293.19908051475892</v>
      </c>
      <c r="K5" s="479">
        <f>'Bicycle Users'!J5*10</f>
        <v>1737.000594615299</v>
      </c>
      <c r="L5" s="479">
        <f>'Bicycle Users'!K5*10</f>
        <v>0</v>
      </c>
      <c r="M5" s="479">
        <f>'Bicycle Users'!L5*10</f>
        <v>0</v>
      </c>
      <c r="N5" s="479">
        <f>'Bicycle Users'!M5*10</f>
        <v>0</v>
      </c>
      <c r="O5" s="544">
        <f t="shared" si="27"/>
        <v>395.58636044443119</v>
      </c>
      <c r="P5" s="544">
        <f t="shared" si="28"/>
        <v>688.78544095919005</v>
      </c>
      <c r="Q5" s="544">
        <f t="shared" si="29"/>
        <v>2132.5869550597299</v>
      </c>
      <c r="R5" s="544">
        <f t="shared" si="30"/>
        <v>0</v>
      </c>
      <c r="S5" s="544">
        <f t="shared" si="31"/>
        <v>0</v>
      </c>
      <c r="T5" s="544">
        <f t="shared" si="32"/>
        <v>0</v>
      </c>
      <c r="U5" s="479">
        <f>U4*(1+'Fayette County Statistics'!$L$5)</f>
        <v>12506.006444924235</v>
      </c>
      <c r="V5" s="479">
        <f>V4*(1+'Fayette County Statistics'!$L$5)</f>
        <v>9347.117339466733</v>
      </c>
      <c r="W5" s="479">
        <f>W4*(1+'Fayette County Statistics'!$L$5)</f>
        <v>5316.2018880981295</v>
      </c>
      <c r="X5" s="544">
        <f>X4*(1+'Fayette County Statistics'!$L$5)</f>
        <v>595.41461146699044</v>
      </c>
      <c r="Y5" s="544">
        <f>Y4*(1+'Fayette County Statistics'!$L$5)</f>
        <v>228.59668118821952</v>
      </c>
      <c r="Z5" s="544">
        <f t="shared" si="0"/>
        <v>824.0112926552099</v>
      </c>
      <c r="AA5" s="544">
        <f>'Bicycle Users'!X5</f>
        <v>0</v>
      </c>
      <c r="AB5" s="479">
        <f>'Bicycle Users'!Y5*10</f>
        <v>0</v>
      </c>
      <c r="AC5" s="479">
        <f>'Bicycle Users'!Z5*10</f>
        <v>756.65122952173442</v>
      </c>
      <c r="AD5" s="479">
        <f>'Bicycle Users'!AA5*10</f>
        <v>4388.4923997986552</v>
      </c>
      <c r="AE5" s="479">
        <f>'Bicycle Users'!AB5*10</f>
        <v>0</v>
      </c>
      <c r="AF5" s="479">
        <f>'Bicycle Users'!AC5*10</f>
        <v>0</v>
      </c>
      <c r="AG5" s="479">
        <f>'Bicycle Users'!AD5*10</f>
        <v>0</v>
      </c>
      <c r="AH5" s="544">
        <f t="shared" si="33"/>
        <v>824.0112926552099</v>
      </c>
      <c r="AI5" s="544">
        <f t="shared" si="34"/>
        <v>1580.6625221769443</v>
      </c>
      <c r="AJ5" s="544">
        <f t="shared" si="35"/>
        <v>5212.5036924538654</v>
      </c>
      <c r="AK5" s="544">
        <f t="shared" si="36"/>
        <v>0</v>
      </c>
      <c r="AL5" s="544">
        <f t="shared" si="37"/>
        <v>0</v>
      </c>
      <c r="AM5" s="544">
        <f t="shared" si="38"/>
        <v>0</v>
      </c>
      <c r="AN5" s="479">
        <f>AN4*(1+'Fayette County Statistics'!$L$5)</f>
        <v>14133.356860450738</v>
      </c>
      <c r="AO5" s="479">
        <f>AO4*(1+'Fayette County Statistics'!$L$6)</f>
        <v>10800.732345854256</v>
      </c>
      <c r="AP5" s="479">
        <f>AP4*(1+'Fayette County Statistics'!$L$6)</f>
        <v>6451.8701872499541</v>
      </c>
      <c r="AQ5" s="544">
        <f>AQ4*(1+'Fayette County Statistics'!$L$6)</f>
        <v>593.57205722699587</v>
      </c>
      <c r="AR5" s="544">
        <f>AR4*(1+'Fayette County Statistics'!$L$6)</f>
        <v>303.23789880074787</v>
      </c>
      <c r="AS5" s="544">
        <f t="shared" si="1"/>
        <v>896.80995602774374</v>
      </c>
      <c r="AT5" s="544">
        <v>0</v>
      </c>
      <c r="AU5" s="479">
        <f t="shared" si="2"/>
        <v>0</v>
      </c>
      <c r="AV5" s="479">
        <f t="shared" si="3"/>
        <v>222.56492058896583</v>
      </c>
      <c r="AW5" s="479">
        <f t="shared" si="4"/>
        <v>1858.4243061306129</v>
      </c>
      <c r="AX5" s="479">
        <v>0</v>
      </c>
      <c r="AY5" s="479">
        <v>0</v>
      </c>
      <c r="AZ5" s="479">
        <v>0</v>
      </c>
      <c r="BA5" s="544">
        <f t="shared" si="5"/>
        <v>896.80995602774374</v>
      </c>
      <c r="BB5" s="544">
        <f t="shared" si="6"/>
        <v>1119.3748766167096</v>
      </c>
      <c r="BC5" s="544">
        <f t="shared" si="7"/>
        <v>2755.2342621583566</v>
      </c>
      <c r="BD5" s="544">
        <v>0</v>
      </c>
      <c r="BE5" s="544">
        <v>0</v>
      </c>
      <c r="BF5" s="544">
        <v>0</v>
      </c>
      <c r="BG5" s="479">
        <f t="shared" si="8"/>
        <v>16624.060213987221</v>
      </c>
      <c r="BH5" s="479">
        <f t="shared" si="9"/>
        <v>12861.794429267589</v>
      </c>
      <c r="BI5" s="479">
        <f t="shared" si="10"/>
        <v>7324.254479186613</v>
      </c>
      <c r="BJ5" s="544">
        <f t="shared" si="11"/>
        <v>888.59028976590889</v>
      </c>
      <c r="BK5" s="544">
        <f t="shared" si="12"/>
        <v>331.0073633337322</v>
      </c>
      <c r="BL5" s="544">
        <f t="shared" si="13"/>
        <v>1219.5976530996411</v>
      </c>
      <c r="BM5" s="544">
        <f t="shared" si="14"/>
        <v>0</v>
      </c>
      <c r="BN5" s="479">
        <f t="shared" si="39"/>
        <v>0</v>
      </c>
      <c r="BO5" s="479">
        <f t="shared" si="15"/>
        <v>1049.8503100364933</v>
      </c>
      <c r="BP5" s="479">
        <f t="shared" si="16"/>
        <v>6125.492994413954</v>
      </c>
      <c r="BQ5" s="479">
        <f t="shared" si="17"/>
        <v>0</v>
      </c>
      <c r="BR5" s="479">
        <f t="shared" si="18"/>
        <v>0</v>
      </c>
      <c r="BS5" s="479">
        <f t="shared" si="19"/>
        <v>0</v>
      </c>
      <c r="BT5" s="544">
        <f t="shared" si="20"/>
        <v>1219.5976530996411</v>
      </c>
      <c r="BU5" s="544">
        <f t="shared" si="21"/>
        <v>2269.4479631361346</v>
      </c>
      <c r="BV5" s="544">
        <f t="shared" si="22"/>
        <v>7345.0906475135953</v>
      </c>
      <c r="BW5" s="544">
        <f t="shared" si="23"/>
        <v>0</v>
      </c>
      <c r="BX5" s="544">
        <f t="shared" si="24"/>
        <v>0</v>
      </c>
      <c r="BY5" s="544">
        <f t="shared" si="25"/>
        <v>0</v>
      </c>
      <c r="CB5" s="491"/>
      <c r="CC5" s="491"/>
    </row>
    <row r="6" spans="1:81" x14ac:dyDescent="0.25">
      <c r="A6" s="486">
        <v>2017</v>
      </c>
      <c r="B6" s="479">
        <f>B5*(1+'Fayette County Statistics'!$L$5)</f>
        <v>4164.1774781522072</v>
      </c>
      <c r="C6" s="479">
        <f>C5*(1+'Fayette County Statistics'!$L$5)</f>
        <v>3554.0427592951164</v>
      </c>
      <c r="D6" s="479">
        <f>D5*(1+'Fayette County Statistics'!$L$5)</f>
        <v>2030.5435148940496</v>
      </c>
      <c r="E6" s="544">
        <f>E5*(1+'Fayette County Statistics'!$L$5)</f>
        <v>296.4593531745312</v>
      </c>
      <c r="F6" s="544">
        <f>F5*(1+'Fayette County Statistics'!$L$5)</f>
        <v>103.55771925959652</v>
      </c>
      <c r="G6" s="544">
        <f t="shared" si="26"/>
        <v>400.01707243412773</v>
      </c>
      <c r="H6" s="544">
        <f>'Bicycle Users'!G6</f>
        <v>0</v>
      </c>
      <c r="I6" s="479">
        <f>'Bicycle Users'!H6*10</f>
        <v>0</v>
      </c>
      <c r="J6" s="479">
        <f>'Bicycle Users'!I6*10</f>
        <v>296.48301750375254</v>
      </c>
      <c r="K6" s="479">
        <f>'Bicycle Users'!J6*10</f>
        <v>1756.4556368771846</v>
      </c>
      <c r="L6" s="479">
        <f>'Bicycle Users'!K6*10</f>
        <v>0</v>
      </c>
      <c r="M6" s="479">
        <f>'Bicycle Users'!L6*10</f>
        <v>0</v>
      </c>
      <c r="N6" s="479">
        <f>'Bicycle Users'!M6*10</f>
        <v>0</v>
      </c>
      <c r="O6" s="544">
        <f t="shared" si="27"/>
        <v>400.01707243412773</v>
      </c>
      <c r="P6" s="544">
        <f t="shared" si="28"/>
        <v>696.50008993788026</v>
      </c>
      <c r="Q6" s="544">
        <f t="shared" si="29"/>
        <v>2156.4727093113124</v>
      </c>
      <c r="R6" s="544">
        <f t="shared" si="30"/>
        <v>0</v>
      </c>
      <c r="S6" s="544">
        <f t="shared" si="31"/>
        <v>0</v>
      </c>
      <c r="T6" s="544">
        <f t="shared" si="32"/>
        <v>0</v>
      </c>
      <c r="U6" s="479">
        <f>U5*(1+'Fayette County Statistics'!$L$5)</f>
        <v>12646.078293297611</v>
      </c>
      <c r="V6" s="479">
        <f>V5*(1+'Fayette County Statistics'!$L$5)</f>
        <v>9451.8084739602164</v>
      </c>
      <c r="W6" s="479">
        <f>W5*(1+'Fayette County Statistics'!$L$5)</f>
        <v>5375.74529454617</v>
      </c>
      <c r="X6" s="544">
        <f>X5*(1+'Fayette County Statistics'!$L$5)</f>
        <v>602.08347298917101</v>
      </c>
      <c r="Y6" s="544">
        <f>Y5*(1+'Fayette County Statistics'!$L$5)</f>
        <v>231.15704766548527</v>
      </c>
      <c r="Z6" s="544">
        <f t="shared" si="0"/>
        <v>833.24052065465628</v>
      </c>
      <c r="AA6" s="544">
        <f>'Bicycle Users'!X6</f>
        <v>0</v>
      </c>
      <c r="AB6" s="479">
        <f>'Bicycle Users'!Y6*10</f>
        <v>0</v>
      </c>
      <c r="AC6" s="479">
        <f>'Bicycle Users'!Z6*10</f>
        <v>765.12600016573288</v>
      </c>
      <c r="AD6" s="479">
        <f>'Bicycle Users'!AA6*10</f>
        <v>4437.6451205108533</v>
      </c>
      <c r="AE6" s="479">
        <f>'Bicycle Users'!AB6*10</f>
        <v>0</v>
      </c>
      <c r="AF6" s="479">
        <f>'Bicycle Users'!AC6*10</f>
        <v>0</v>
      </c>
      <c r="AG6" s="479">
        <f>'Bicycle Users'!AD6*10</f>
        <v>0</v>
      </c>
      <c r="AH6" s="544">
        <f t="shared" si="33"/>
        <v>833.24052065465628</v>
      </c>
      <c r="AI6" s="544">
        <f t="shared" si="34"/>
        <v>1598.3665208203893</v>
      </c>
      <c r="AJ6" s="544">
        <f t="shared" si="35"/>
        <v>5270.8856411655097</v>
      </c>
      <c r="AK6" s="544">
        <f t="shared" si="36"/>
        <v>0</v>
      </c>
      <c r="AL6" s="544">
        <f t="shared" si="37"/>
        <v>0</v>
      </c>
      <c r="AM6" s="544">
        <f t="shared" si="38"/>
        <v>0</v>
      </c>
      <c r="AN6" s="479">
        <f>AN5*(1+'Fayette County Statistics'!$L$5)</f>
        <v>14291.65562895708</v>
      </c>
      <c r="AO6" s="479">
        <f>AO5*(1+'Fayette County Statistics'!$L$6)</f>
        <v>10927.280864524002</v>
      </c>
      <c r="AP6" s="479">
        <f>AP5*(1+'Fayette County Statistics'!$L$6)</f>
        <v>6527.4645625850089</v>
      </c>
      <c r="AQ6" s="544">
        <f>AQ5*(1+'Fayette County Statistics'!$L$6)</f>
        <v>600.52673975782091</v>
      </c>
      <c r="AR6" s="544">
        <f>AR5*(1+'Fayette County Statistics'!$L$6)</f>
        <v>306.79083444149546</v>
      </c>
      <c r="AS6" s="544">
        <f t="shared" si="1"/>
        <v>907.31757419931637</v>
      </c>
      <c r="AT6" s="544">
        <v>0</v>
      </c>
      <c r="AU6" s="479">
        <f t="shared" si="2"/>
        <v>0</v>
      </c>
      <c r="AV6" s="479">
        <f t="shared" si="3"/>
        <v>225.17263829795911</v>
      </c>
      <c r="AW6" s="479">
        <f t="shared" si="4"/>
        <v>1880.1988335857768</v>
      </c>
      <c r="AX6" s="479">
        <v>0</v>
      </c>
      <c r="AY6" s="479">
        <v>0</v>
      </c>
      <c r="AZ6" s="479">
        <v>0</v>
      </c>
      <c r="BA6" s="544">
        <f t="shared" si="5"/>
        <v>907.31757419931637</v>
      </c>
      <c r="BB6" s="544">
        <f t="shared" si="6"/>
        <v>1132.4902124972755</v>
      </c>
      <c r="BC6" s="544">
        <f t="shared" si="7"/>
        <v>2787.5164077850932</v>
      </c>
      <c r="BD6" s="544">
        <v>0</v>
      </c>
      <c r="BE6" s="544">
        <v>0</v>
      </c>
      <c r="BF6" s="544">
        <v>0</v>
      </c>
      <c r="BG6" s="479">
        <f t="shared" si="8"/>
        <v>16810.255771449818</v>
      </c>
      <c r="BH6" s="479">
        <f t="shared" si="9"/>
        <v>13005.851233255333</v>
      </c>
      <c r="BI6" s="479">
        <f t="shared" si="10"/>
        <v>7406.2888094402197</v>
      </c>
      <c r="BJ6" s="544">
        <f t="shared" si="11"/>
        <v>898.54282616370222</v>
      </c>
      <c r="BK6" s="544">
        <f t="shared" si="12"/>
        <v>334.71476692508179</v>
      </c>
      <c r="BL6" s="544">
        <f t="shared" si="13"/>
        <v>1233.257593088784</v>
      </c>
      <c r="BM6" s="544">
        <f t="shared" si="14"/>
        <v>0</v>
      </c>
      <c r="BN6" s="479">
        <f t="shared" si="39"/>
        <v>0</v>
      </c>
      <c r="BO6" s="479">
        <f t="shared" si="15"/>
        <v>1061.6090176694854</v>
      </c>
      <c r="BP6" s="479">
        <f t="shared" si="16"/>
        <v>6194.1007573880379</v>
      </c>
      <c r="BQ6" s="479">
        <f t="shared" si="17"/>
        <v>0</v>
      </c>
      <c r="BR6" s="479">
        <f t="shared" si="18"/>
        <v>0</v>
      </c>
      <c r="BS6" s="479">
        <f t="shared" si="19"/>
        <v>0</v>
      </c>
      <c r="BT6" s="544">
        <f t="shared" si="20"/>
        <v>1233.257593088784</v>
      </c>
      <c r="BU6" s="544">
        <f t="shared" si="21"/>
        <v>2294.8666107582694</v>
      </c>
      <c r="BV6" s="544">
        <f t="shared" si="22"/>
        <v>7427.3583504768221</v>
      </c>
      <c r="BW6" s="544">
        <f t="shared" si="23"/>
        <v>0</v>
      </c>
      <c r="BX6" s="544">
        <f t="shared" si="24"/>
        <v>0</v>
      </c>
      <c r="BY6" s="544">
        <f t="shared" si="25"/>
        <v>0</v>
      </c>
      <c r="CB6" s="491"/>
      <c r="CC6" s="491"/>
    </row>
    <row r="7" spans="1:81" x14ac:dyDescent="0.25">
      <c r="A7" s="486">
        <v>2018</v>
      </c>
      <c r="B7" s="479">
        <f>B6*(1+'Fayette County Statistics'!$L$5)</f>
        <v>4210.8177896607858</v>
      </c>
      <c r="C7" s="479">
        <f>C6*(1+'Fayette County Statistics'!$L$5)</f>
        <v>3593.8493386923733</v>
      </c>
      <c r="D7" s="479">
        <f>D6*(1+'Fayette County Statistics'!$L$5)</f>
        <v>2053.2863452761035</v>
      </c>
      <c r="E7" s="544">
        <f>E6*(1+'Fayette County Statistics'!$L$5)</f>
        <v>299.77980641031104</v>
      </c>
      <c r="F7" s="544">
        <f>F6*(1+'Fayette County Statistics'!$L$5)</f>
        <v>104.71760360908127</v>
      </c>
      <c r="G7" s="544">
        <f t="shared" si="26"/>
        <v>404.49741001939231</v>
      </c>
      <c r="H7" s="544">
        <f>'Bicycle Users'!G7</f>
        <v>0</v>
      </c>
      <c r="I7" s="479">
        <f>'Bicycle Users'!H7*10</f>
        <v>0</v>
      </c>
      <c r="J7" s="479">
        <f>'Bicycle Users'!I7*10</f>
        <v>299.80373578867869</v>
      </c>
      <c r="K7" s="479">
        <f>'Bicycle Users'!J7*10</f>
        <v>1776.1285827313809</v>
      </c>
      <c r="L7" s="479">
        <f>'Bicycle Users'!K7*10</f>
        <v>0</v>
      </c>
      <c r="M7" s="479">
        <f>'Bicycle Users'!L7*10</f>
        <v>0</v>
      </c>
      <c r="N7" s="479">
        <f>'Bicycle Users'!M7*10</f>
        <v>0</v>
      </c>
      <c r="O7" s="544">
        <f t="shared" si="27"/>
        <v>404.49741001939231</v>
      </c>
      <c r="P7" s="544">
        <f t="shared" si="28"/>
        <v>704.30114580807094</v>
      </c>
      <c r="Q7" s="544">
        <f t="shared" si="29"/>
        <v>2180.6259927507731</v>
      </c>
      <c r="R7" s="544">
        <f t="shared" si="30"/>
        <v>0</v>
      </c>
      <c r="S7" s="544">
        <f t="shared" si="31"/>
        <v>0</v>
      </c>
      <c r="T7" s="544">
        <f t="shared" si="32"/>
        <v>0</v>
      </c>
      <c r="U7" s="479">
        <f>U6*(1+'Fayette County Statistics'!$L$5)</f>
        <v>12787.718997627773</v>
      </c>
      <c r="V7" s="479">
        <f>V6*(1+'Fayette County Statistics'!$L$5)</f>
        <v>9557.6721874685427</v>
      </c>
      <c r="W7" s="479">
        <f>W6*(1+'Fayette County Statistics'!$L$5)</f>
        <v>5435.9556089345151</v>
      </c>
      <c r="X7" s="544">
        <f>X6*(1+'Fayette County Statistics'!$L$5)</f>
        <v>608.82702820066572</v>
      </c>
      <c r="Y7" s="544">
        <f>Y6*(1+'Fayette County Statistics'!$L$5)</f>
        <v>233.74609118418411</v>
      </c>
      <c r="Z7" s="544">
        <f t="shared" si="0"/>
        <v>842.57311938484986</v>
      </c>
      <c r="AA7" s="544">
        <f>'Bicycle Users'!X7</f>
        <v>0</v>
      </c>
      <c r="AB7" s="479">
        <f>'Bicycle Users'!Y7*10</f>
        <v>0</v>
      </c>
      <c r="AC7" s="479">
        <f>'Bicycle Users'!Z7*10</f>
        <v>773.69569134202629</v>
      </c>
      <c r="AD7" s="479">
        <f>'Bicycle Users'!AA7*10</f>
        <v>4487.3483696809626</v>
      </c>
      <c r="AE7" s="479">
        <f>'Bicycle Users'!AB7*10</f>
        <v>0</v>
      </c>
      <c r="AF7" s="479">
        <f>'Bicycle Users'!AC7*10</f>
        <v>0</v>
      </c>
      <c r="AG7" s="479">
        <f>'Bicycle Users'!AD7*10</f>
        <v>0</v>
      </c>
      <c r="AH7" s="544">
        <f t="shared" si="33"/>
        <v>842.57311938484986</v>
      </c>
      <c r="AI7" s="544">
        <f t="shared" si="34"/>
        <v>1616.2688107268762</v>
      </c>
      <c r="AJ7" s="544">
        <f t="shared" si="35"/>
        <v>5329.9214890658122</v>
      </c>
      <c r="AK7" s="544">
        <f t="shared" si="36"/>
        <v>0</v>
      </c>
      <c r="AL7" s="544">
        <f t="shared" si="37"/>
        <v>0</v>
      </c>
      <c r="AM7" s="544">
        <f t="shared" si="38"/>
        <v>0</v>
      </c>
      <c r="AN7" s="479">
        <f>AN6*(1+'Fayette County Statistics'!$L$5)</f>
        <v>14451.727401595281</v>
      </c>
      <c r="AO7" s="479">
        <f>AO6*(1+'Fayette County Statistics'!$L$6)</f>
        <v>11055.312109277933</v>
      </c>
      <c r="AP7" s="479">
        <f>AP6*(1+'Fayette County Statistics'!$L$6)</f>
        <v>6603.9446515839236</v>
      </c>
      <c r="AQ7" s="544">
        <f>AQ6*(1+'Fayette County Statistics'!$L$6)</f>
        <v>607.56290794572112</v>
      </c>
      <c r="AR7" s="544">
        <f>AR6*(1+'Fayette County Statistics'!$L$6)</f>
        <v>310.38539862444446</v>
      </c>
      <c r="AS7" s="544">
        <f t="shared" si="1"/>
        <v>917.94830657016564</v>
      </c>
      <c r="AT7" s="544">
        <v>0</v>
      </c>
      <c r="AU7" s="479">
        <f t="shared" si="2"/>
        <v>0</v>
      </c>
      <c r="AV7" s="479">
        <f t="shared" si="3"/>
        <v>227.81090975114466</v>
      </c>
      <c r="AW7" s="479">
        <f t="shared" si="4"/>
        <v>1902.2284857959989</v>
      </c>
      <c r="AX7" s="479">
        <v>0</v>
      </c>
      <c r="AY7" s="479">
        <v>0</v>
      </c>
      <c r="AZ7" s="479">
        <v>0</v>
      </c>
      <c r="BA7" s="544">
        <f t="shared" si="5"/>
        <v>917.94830657016564</v>
      </c>
      <c r="BB7" s="544">
        <f t="shared" si="6"/>
        <v>1145.7592163213103</v>
      </c>
      <c r="BC7" s="544">
        <f t="shared" si="7"/>
        <v>2820.1767923661646</v>
      </c>
      <c r="BD7" s="544">
        <v>0</v>
      </c>
      <c r="BE7" s="544">
        <v>0</v>
      </c>
      <c r="BF7" s="544">
        <v>0</v>
      </c>
      <c r="BG7" s="479">
        <f t="shared" si="8"/>
        <v>16998.536787288558</v>
      </c>
      <c r="BH7" s="479">
        <f t="shared" si="9"/>
        <v>13151.521526160916</v>
      </c>
      <c r="BI7" s="479">
        <f t="shared" si="10"/>
        <v>7489.2419542106181</v>
      </c>
      <c r="BJ7" s="544">
        <f t="shared" si="11"/>
        <v>908.60683461097676</v>
      </c>
      <c r="BK7" s="544">
        <f t="shared" si="12"/>
        <v>338.4636947932654</v>
      </c>
      <c r="BL7" s="544">
        <f t="shared" si="13"/>
        <v>1247.0705294042423</v>
      </c>
      <c r="BM7" s="544">
        <f t="shared" si="14"/>
        <v>0</v>
      </c>
      <c r="BN7" s="479">
        <f t="shared" si="39"/>
        <v>0</v>
      </c>
      <c r="BO7" s="479">
        <f t="shared" si="15"/>
        <v>1073.499427130705</v>
      </c>
      <c r="BP7" s="479">
        <f t="shared" si="16"/>
        <v>6263.476952412344</v>
      </c>
      <c r="BQ7" s="479">
        <f t="shared" si="17"/>
        <v>0</v>
      </c>
      <c r="BR7" s="479">
        <f t="shared" si="18"/>
        <v>0</v>
      </c>
      <c r="BS7" s="479">
        <f t="shared" si="19"/>
        <v>0</v>
      </c>
      <c r="BT7" s="544">
        <f t="shared" si="20"/>
        <v>1247.0705294042423</v>
      </c>
      <c r="BU7" s="544">
        <f t="shared" si="21"/>
        <v>2320.5699565349469</v>
      </c>
      <c r="BV7" s="544">
        <f t="shared" si="22"/>
        <v>7510.5474818165858</v>
      </c>
      <c r="BW7" s="544">
        <f t="shared" si="23"/>
        <v>0</v>
      </c>
      <c r="BX7" s="544">
        <f t="shared" si="24"/>
        <v>0</v>
      </c>
      <c r="BY7" s="544">
        <f t="shared" si="25"/>
        <v>0</v>
      </c>
      <c r="CB7" s="491"/>
      <c r="CC7" s="491"/>
    </row>
    <row r="8" spans="1:81" x14ac:dyDescent="0.25">
      <c r="A8" s="486">
        <v>2019</v>
      </c>
      <c r="B8" s="479">
        <f>B7*(1+'Fayette County Statistics'!$L$5)</f>
        <v>4257.980489724855</v>
      </c>
      <c r="C8" s="479">
        <f>C7*(1+'Fayette County Statistics'!$L$5)</f>
        <v>3634.1017663448783</v>
      </c>
      <c r="D8" s="479">
        <f>D7*(1+'Fayette County Statistics'!$L$5)</f>
        <v>2076.2839036804785</v>
      </c>
      <c r="E8" s="544">
        <f>E7*(1+'Fayette County Statistics'!$L$5)</f>
        <v>303.1374499373498</v>
      </c>
      <c r="F8" s="544">
        <f>F7*(1+'Fayette County Statistics'!$L$5)</f>
        <v>105.89047908770441</v>
      </c>
      <c r="G8" s="544">
        <f t="shared" si="26"/>
        <v>409.02792902505422</v>
      </c>
      <c r="H8" s="544">
        <f>'Bicycle Users'!G8</f>
        <v>0</v>
      </c>
      <c r="I8" s="479">
        <f>'Bicycle Users'!H8*10</f>
        <v>0</v>
      </c>
      <c r="J8" s="479">
        <f>'Bicycle Users'!I8*10</f>
        <v>303.16164733351144</v>
      </c>
      <c r="K8" s="479">
        <f>'Bicycle Users'!J8*10</f>
        <v>1796.0218727778561</v>
      </c>
      <c r="L8" s="479">
        <f>'Bicycle Users'!K8*10</f>
        <v>0</v>
      </c>
      <c r="M8" s="479">
        <f>'Bicycle Users'!L8*10</f>
        <v>0</v>
      </c>
      <c r="N8" s="479">
        <f>'Bicycle Users'!M8*10</f>
        <v>0</v>
      </c>
      <c r="O8" s="544">
        <f t="shared" si="27"/>
        <v>409.02792902505422</v>
      </c>
      <c r="P8" s="544">
        <f t="shared" si="28"/>
        <v>712.18957635856566</v>
      </c>
      <c r="Q8" s="544">
        <f t="shared" si="29"/>
        <v>2205.0498018029102</v>
      </c>
      <c r="R8" s="544">
        <f t="shared" si="30"/>
        <v>0</v>
      </c>
      <c r="S8" s="544">
        <f t="shared" si="31"/>
        <v>0</v>
      </c>
      <c r="T8" s="544">
        <f t="shared" si="32"/>
        <v>0</v>
      </c>
      <c r="U8" s="479">
        <f>U7*(1+'Fayette County Statistics'!$L$5)</f>
        <v>12930.946129675514</v>
      </c>
      <c r="V8" s="479">
        <f>V7*(1+'Fayette County Statistics'!$L$5)</f>
        <v>9664.7216133057482</v>
      </c>
      <c r="W8" s="479">
        <f>W7*(1+'Fayette County Statistics'!$L$5)</f>
        <v>5496.8403008761316</v>
      </c>
      <c r="X8" s="544">
        <f>X7*(1+'Fayette County Statistics'!$L$5)</f>
        <v>615.64611369812678</v>
      </c>
      <c r="Y8" s="544">
        <f>Y7*(1+'Fayette County Statistics'!$L$5)</f>
        <v>236.36413293767362</v>
      </c>
      <c r="Z8" s="544">
        <f t="shared" si="0"/>
        <v>852.0102466358004</v>
      </c>
      <c r="AA8" s="544">
        <f>'Bicycle Users'!X8</f>
        <v>0</v>
      </c>
      <c r="AB8" s="479">
        <f>'Bicycle Users'!Y8*10</f>
        <v>0</v>
      </c>
      <c r="AC8" s="479">
        <f>'Bicycle Users'!Z8*10</f>
        <v>782.36136619531089</v>
      </c>
      <c r="AD8" s="479">
        <f>'Bicycle Users'!AA8*10</f>
        <v>4537.6083134291566</v>
      </c>
      <c r="AE8" s="479">
        <f>'Bicycle Users'!AB8*10</f>
        <v>0</v>
      </c>
      <c r="AF8" s="479">
        <f>'Bicycle Users'!AC8*10</f>
        <v>0</v>
      </c>
      <c r="AG8" s="479">
        <f>'Bicycle Users'!AD8*10</f>
        <v>0</v>
      </c>
      <c r="AH8" s="544">
        <f t="shared" si="33"/>
        <v>852.0102466358004</v>
      </c>
      <c r="AI8" s="544">
        <f t="shared" si="34"/>
        <v>1634.3716128311112</v>
      </c>
      <c r="AJ8" s="544">
        <f t="shared" si="35"/>
        <v>5389.6185600649569</v>
      </c>
      <c r="AK8" s="544">
        <f t="shared" si="36"/>
        <v>0</v>
      </c>
      <c r="AL8" s="544">
        <f t="shared" si="37"/>
        <v>0</v>
      </c>
      <c r="AM8" s="544">
        <f t="shared" si="38"/>
        <v>0</v>
      </c>
      <c r="AN8" s="479">
        <f>AN7*(1+'Fayette County Statistics'!$L$5)</f>
        <v>14613.592036660395</v>
      </c>
      <c r="AO8" s="479">
        <f>AO7*(1+'Fayette County Statistics'!$L$6)</f>
        <v>11184.843452714827</v>
      </c>
      <c r="AP8" s="479">
        <f>AP7*(1+'Fayette County Statistics'!$L$6)</f>
        <v>6681.3208318533771</v>
      </c>
      <c r="AQ8" s="544">
        <f>AQ7*(1+'Fayette County Statistics'!$L$6)</f>
        <v>614.68151653051086</v>
      </c>
      <c r="AR8" s="544">
        <f>AR7*(1+'Fayette County Statistics'!$L$6)</f>
        <v>314.02207909710876</v>
      </c>
      <c r="AS8" s="544">
        <f t="shared" si="1"/>
        <v>928.70359562761962</v>
      </c>
      <c r="AT8" s="544">
        <v>0</v>
      </c>
      <c r="AU8" s="479">
        <f t="shared" si="2"/>
        <v>0</v>
      </c>
      <c r="AV8" s="479">
        <f t="shared" si="3"/>
        <v>230.48009293638313</v>
      </c>
      <c r="AW8" s="479">
        <f t="shared" si="4"/>
        <v>1924.5162519715286</v>
      </c>
      <c r="AX8" s="479">
        <v>0</v>
      </c>
      <c r="AY8" s="479">
        <v>0</v>
      </c>
      <c r="AZ8" s="479">
        <v>0</v>
      </c>
      <c r="BA8" s="544">
        <f t="shared" si="5"/>
        <v>928.70359562761962</v>
      </c>
      <c r="BB8" s="544">
        <f t="shared" si="6"/>
        <v>1159.1836885640028</v>
      </c>
      <c r="BC8" s="544">
        <f t="shared" si="7"/>
        <v>2853.2198475991481</v>
      </c>
      <c r="BD8" s="544">
        <v>0</v>
      </c>
      <c r="BE8" s="544">
        <v>0</v>
      </c>
      <c r="BF8" s="544">
        <v>0</v>
      </c>
      <c r="BG8" s="479">
        <f t="shared" si="8"/>
        <v>17188.926619400369</v>
      </c>
      <c r="BH8" s="479">
        <f t="shared" si="9"/>
        <v>13298.823379650627</v>
      </c>
      <c r="BI8" s="479">
        <f t="shared" si="10"/>
        <v>7573.1242045566105</v>
      </c>
      <c r="BJ8" s="544">
        <f t="shared" si="11"/>
        <v>918.78356363547664</v>
      </c>
      <c r="BK8" s="544">
        <f t="shared" si="12"/>
        <v>342.25461202537804</v>
      </c>
      <c r="BL8" s="544">
        <f t="shared" si="13"/>
        <v>1261.0381756608547</v>
      </c>
      <c r="BM8" s="544">
        <f t="shared" si="14"/>
        <v>0</v>
      </c>
      <c r="BN8" s="479">
        <f t="shared" si="39"/>
        <v>0</v>
      </c>
      <c r="BO8" s="479">
        <f t="shared" si="15"/>
        <v>1085.5230135288223</v>
      </c>
      <c r="BP8" s="479">
        <f t="shared" si="16"/>
        <v>6333.6301862070122</v>
      </c>
      <c r="BQ8" s="479">
        <f t="shared" si="17"/>
        <v>0</v>
      </c>
      <c r="BR8" s="479">
        <f t="shared" si="18"/>
        <v>0</v>
      </c>
      <c r="BS8" s="479">
        <f t="shared" si="19"/>
        <v>0</v>
      </c>
      <c r="BT8" s="544">
        <f t="shared" si="20"/>
        <v>1261.0381756608547</v>
      </c>
      <c r="BU8" s="544">
        <f t="shared" si="21"/>
        <v>2346.561189189677</v>
      </c>
      <c r="BV8" s="544">
        <f t="shared" si="22"/>
        <v>7594.6683618678671</v>
      </c>
      <c r="BW8" s="544">
        <f t="shared" si="23"/>
        <v>0</v>
      </c>
      <c r="BX8" s="544">
        <f t="shared" si="24"/>
        <v>0</v>
      </c>
      <c r="BY8" s="544">
        <f t="shared" si="25"/>
        <v>0</v>
      </c>
      <c r="CB8" s="491"/>
      <c r="CC8" s="491"/>
    </row>
    <row r="9" spans="1:81" s="590" customFormat="1" x14ac:dyDescent="0.25">
      <c r="A9" s="588">
        <v>2020</v>
      </c>
      <c r="B9" s="589">
        <f>B8*(1+'Fayette County Statistics'!$L$5)</f>
        <v>4305.6714292873885</v>
      </c>
      <c r="C9" s="589">
        <f>C8*(1+'Fayette County Statistics'!$L$5)</f>
        <v>3674.8050359162353</v>
      </c>
      <c r="D9" s="589">
        <f>D8*(1+'Fayette County Statistics'!$L$5)</f>
        <v>2099.5390431542351</v>
      </c>
      <c r="E9" s="589">
        <f>E8*(1+'Fayette County Statistics'!$L$5)</f>
        <v>306.53270030051829</v>
      </c>
      <c r="F9" s="589">
        <f>F8*(1+'Fayette County Statistics'!$L$5)</f>
        <v>107.076491200866</v>
      </c>
      <c r="G9" s="589">
        <f t="shared" si="26"/>
        <v>413.60919150138432</v>
      </c>
      <c r="H9" s="589">
        <f>'Bicycle Users'!G9</f>
        <v>153.98019342493163</v>
      </c>
      <c r="I9" s="589">
        <f>'Bicycle Users'!H9*10</f>
        <v>0</v>
      </c>
      <c r="J9" s="589">
        <f>'Bicycle Users'!I9*10</f>
        <v>306.55716871637128</v>
      </c>
      <c r="K9" s="589">
        <f>'Bicycle Users'!J9*10</f>
        <v>1816.137974952193</v>
      </c>
      <c r="L9" s="589">
        <f>'Bicycle Users'!K9*10</f>
        <v>0</v>
      </c>
      <c r="M9" s="589">
        <f>'Bicycle Users'!L9*10</f>
        <v>591.65533562259668</v>
      </c>
      <c r="N9" s="589">
        <f>'Bicycle Users'!M9*10</f>
        <v>3505.1462916577329</v>
      </c>
      <c r="O9" s="589">
        <f t="shared" si="27"/>
        <v>413.60919150138432</v>
      </c>
      <c r="P9" s="589">
        <f t="shared" si="28"/>
        <v>720.1663602177556</v>
      </c>
      <c r="Q9" s="589">
        <f t="shared" si="29"/>
        <v>2229.7471664535774</v>
      </c>
      <c r="R9" s="589">
        <f t="shared" si="30"/>
        <v>153.98019342493163</v>
      </c>
      <c r="S9" s="589">
        <f t="shared" si="31"/>
        <v>745.63552904752828</v>
      </c>
      <c r="T9" s="589">
        <f t="shared" si="32"/>
        <v>3659.1264850826647</v>
      </c>
      <c r="U9" s="589">
        <f>U8*(1+'Fayette County Statistics'!$L$5)</f>
        <v>13075.777458011775</v>
      </c>
      <c r="V9" s="589">
        <f>V8*(1+'Fayette County Statistics'!$L$5)</f>
        <v>9772.9700318837913</v>
      </c>
      <c r="W9" s="589">
        <f>W8*(1+'Fayette County Statistics'!$L$5)</f>
        <v>5558.4069236463829</v>
      </c>
      <c r="X9" s="589">
        <f>X8*(1+'Fayette County Statistics'!$L$5)</f>
        <v>622.54157544839495</v>
      </c>
      <c r="Y9" s="589">
        <f>Y8*(1+'Fayette County Statistics'!$L$5)</f>
        <v>239.01149771679442</v>
      </c>
      <c r="Z9" s="589">
        <f t="shared" ref="Z9" si="40">SUM(X9:Y9)</f>
        <v>861.5530731651894</v>
      </c>
      <c r="AA9" s="589">
        <f>'Bicycle Users'!X9</f>
        <v>222.11394066890935</v>
      </c>
      <c r="AB9" s="589">
        <f>'Bicycle Users'!Y9*10</f>
        <v>0</v>
      </c>
      <c r="AC9" s="589">
        <f>'Bicycle Users'!Z9*10</f>
        <v>791.12409977789093</v>
      </c>
      <c r="AD9" s="589">
        <f>'Bicycle Users'!AA9*10</f>
        <v>4588.4311869384219</v>
      </c>
      <c r="AE9" s="589">
        <f>'Bicycle Users'!AB9*10</f>
        <v>0</v>
      </c>
      <c r="AF9" s="589">
        <f>'Bicycle Users'!AC9*10</f>
        <v>878.14775075345869</v>
      </c>
      <c r="AG9" s="589">
        <f>'Bicycle Users'!AD9*10</f>
        <v>5093.1586175016473</v>
      </c>
      <c r="AH9" s="589">
        <f t="shared" si="33"/>
        <v>861.5530731651894</v>
      </c>
      <c r="AI9" s="589">
        <f t="shared" si="34"/>
        <v>1652.6771729430802</v>
      </c>
      <c r="AJ9" s="589">
        <f t="shared" si="35"/>
        <v>5449.9842601036116</v>
      </c>
      <c r="AK9" s="589">
        <f t="shared" si="36"/>
        <v>222.11394066890935</v>
      </c>
      <c r="AL9" s="589">
        <f t="shared" si="37"/>
        <v>1100.2616914223681</v>
      </c>
      <c r="AM9" s="589">
        <f t="shared" si="38"/>
        <v>5315.2725581705563</v>
      </c>
      <c r="AN9" s="589">
        <f>AN8*(1+'Fayette County Statistics'!$L$5)</f>
        <v>14777.269614867646</v>
      </c>
      <c r="AO9" s="589">
        <f>AO8*(1+'Fayette County Statistics'!$L$6)</f>
        <v>11315.892470982311</v>
      </c>
      <c r="AP9" s="589">
        <f>AP8*(1+'Fayette County Statistics'!$L$6)</f>
        <v>6759.6036025909461</v>
      </c>
      <c r="AQ9" s="589">
        <f>AQ8*(1+'Fayette County Statistics'!$L$6)</f>
        <v>621.8835314383673</v>
      </c>
      <c r="AR9" s="589">
        <f>AR8*(1+'Fayette County Statistics'!$L$6)</f>
        <v>317.70136932177451</v>
      </c>
      <c r="AS9" s="589">
        <f t="shared" ref="AS9" si="41">SUM(AQ9:AR9)</f>
        <v>939.58490076014186</v>
      </c>
      <c r="AT9" s="589">
        <f t="shared" ref="AT9" si="42">(AS9*(1.39-1))</f>
        <v>366.43811129645525</v>
      </c>
      <c r="AU9" s="589">
        <f t="shared" ref="AU9" si="43">BA9-AS9</f>
        <v>0</v>
      </c>
      <c r="AV9" s="589">
        <f t="shared" ref="AV9" si="44">BB9-AS9</f>
        <v>233.18055003595759</v>
      </c>
      <c r="AW9" s="589">
        <f t="shared" ref="AW9" si="45">BC9-AS9</f>
        <v>1947.0651563461774</v>
      </c>
      <c r="AX9" s="589">
        <f t="shared" ref="AX9" si="46">BD9-AT9</f>
        <v>0</v>
      </c>
      <c r="AY9" s="589">
        <f t="shared" ref="AY9" si="47">BE9-AT9</f>
        <v>90.940414514023416</v>
      </c>
      <c r="AZ9" s="589">
        <f t="shared" ref="AZ9" si="48">BF9-AT9</f>
        <v>759.35541097500914</v>
      </c>
      <c r="BA9" s="589">
        <f t="shared" ref="BA9" si="49">AS9</f>
        <v>939.58490076014186</v>
      </c>
      <c r="BB9" s="589">
        <f t="shared" ref="BB9" si="50">(0.004*AO9)+(1.2*AS9)</f>
        <v>1172.7654507960995</v>
      </c>
      <c r="BC9" s="589">
        <f t="shared" ref="BC9" si="51">(0.006*AO9)+(3*AS9)</f>
        <v>2886.6500571063193</v>
      </c>
      <c r="BD9" s="589">
        <f t="shared" ref="BD9:BF10" si="52">(BA9*(1.39-1))</f>
        <v>366.43811129645525</v>
      </c>
      <c r="BE9" s="589">
        <f t="shared" si="52"/>
        <v>457.37852581047866</v>
      </c>
      <c r="BF9" s="589">
        <f t="shared" si="52"/>
        <v>1125.7935222714643</v>
      </c>
      <c r="BG9" s="589">
        <f t="shared" ref="BG9" si="53">SUM(B9,U9)</f>
        <v>17381.448887299164</v>
      </c>
      <c r="BH9" s="589">
        <f t="shared" ref="BH9" si="54">SUM(C9,V9)</f>
        <v>13447.775067800027</v>
      </c>
      <c r="BI9" s="589">
        <f t="shared" ref="BI9" si="55">SUM(D9,W9)</f>
        <v>7657.9459668006184</v>
      </c>
      <c r="BJ9" s="589">
        <f t="shared" ref="BJ9" si="56">SUM(E9,X9)</f>
        <v>929.07427574891324</v>
      </c>
      <c r="BK9" s="589">
        <f t="shared" ref="BK9" si="57">SUM(F9,Y9)</f>
        <v>346.08798891766043</v>
      </c>
      <c r="BL9" s="589">
        <f t="shared" ref="BL9" si="58">SUM(G9,Z9)</f>
        <v>1275.1622646665737</v>
      </c>
      <c r="BM9" s="589">
        <f t="shared" ref="BM9" si="59">SUM(H9,AA9)</f>
        <v>376.09413409384098</v>
      </c>
      <c r="BN9" s="589">
        <f t="shared" ref="BN9" si="60">SUM(I9,AB9)</f>
        <v>0</v>
      </c>
      <c r="BO9" s="589">
        <f t="shared" ref="BO9" si="61">SUM(J9,AC9)</f>
        <v>1097.6812684942622</v>
      </c>
      <c r="BP9" s="589">
        <f t="shared" ref="BP9" si="62">SUM(K9,AD9)</f>
        <v>6404.5691618906149</v>
      </c>
      <c r="BQ9" s="589">
        <f t="shared" ref="BQ9" si="63">SUM(L9,AE9)</f>
        <v>0</v>
      </c>
      <c r="BR9" s="589">
        <f t="shared" ref="BR9" si="64">SUM(M9,AF9)</f>
        <v>1469.8030863760555</v>
      </c>
      <c r="BS9" s="589">
        <f t="shared" ref="BS9" si="65">SUM(N9,AG9)</f>
        <v>8598.3049091593803</v>
      </c>
      <c r="BT9" s="589">
        <f t="shared" ref="BT9" si="66">SUM(O9,AH9)</f>
        <v>1275.1622646665737</v>
      </c>
      <c r="BU9" s="589">
        <f t="shared" ref="BU9" si="67">SUM(P9,AI9)</f>
        <v>2372.8435331608357</v>
      </c>
      <c r="BV9" s="589">
        <f t="shared" ref="BV9" si="68">SUM(Q9,AJ9)</f>
        <v>7679.7314265571895</v>
      </c>
      <c r="BW9" s="589">
        <f t="shared" ref="BW9" si="69">SUM(R9,AK9)</f>
        <v>376.09413409384098</v>
      </c>
      <c r="BX9" s="589">
        <f t="shared" ref="BX9" si="70">SUM(S9,AL9)</f>
        <v>1845.8972204698964</v>
      </c>
      <c r="BY9" s="589">
        <f t="shared" ref="BY9" si="71">SUM(T9,AM9)</f>
        <v>8974.399043253221</v>
      </c>
      <c r="CB9" s="591"/>
      <c r="CC9" s="591"/>
    </row>
    <row r="10" spans="1:81" x14ac:dyDescent="0.25">
      <c r="A10" s="486">
        <v>2021</v>
      </c>
      <c r="B10" s="479">
        <f>B9*(1+'Fayette County Statistics'!$L$5)</f>
        <v>4353.896524824062</v>
      </c>
      <c r="C10" s="479">
        <f>C9*(1+'Fayette County Statistics'!$L$5)</f>
        <v>3715.964197000907</v>
      </c>
      <c r="D10" s="479">
        <f>D9*(1+'Fayette County Statistics'!$L$5)</f>
        <v>2123.0546486996041</v>
      </c>
      <c r="E10" s="544">
        <f>E9*(1+'Fayette County Statistics'!$L$5)</f>
        <v>309.96597871014217</v>
      </c>
      <c r="F10" s="544">
        <f>F9*(1+'Fayette County Statistics'!$L$5)</f>
        <v>108.27578708367983</v>
      </c>
      <c r="G10" s="544">
        <f t="shared" si="26"/>
        <v>418.24176579382197</v>
      </c>
      <c r="H10" s="544">
        <f>'Bicycle Users'!G10</f>
        <v>155.70482793562903</v>
      </c>
      <c r="I10" s="479">
        <f>'Bicycle Users'!H10*10</f>
        <v>0</v>
      </c>
      <c r="J10" s="479">
        <f>'Bicycle Users'!I10*10</f>
        <v>309.99072118120625</v>
      </c>
      <c r="K10" s="479">
        <f>'Bicycle Users'!J10*10</f>
        <v>1836.479384831754</v>
      </c>
      <c r="L10" s="479">
        <f>'Bicycle Users'!K10*10</f>
        <v>0</v>
      </c>
      <c r="M10" s="479">
        <f>'Bicycle Users'!L10*10</f>
        <v>598.28209187972789</v>
      </c>
      <c r="N10" s="479">
        <f>'Bicycle Users'!M10*10</f>
        <v>3544.4052127252862</v>
      </c>
      <c r="O10" s="544">
        <f t="shared" si="27"/>
        <v>418.24176579382197</v>
      </c>
      <c r="P10" s="544">
        <f t="shared" si="28"/>
        <v>728.23248697502822</v>
      </c>
      <c r="Q10" s="544">
        <f t="shared" si="29"/>
        <v>2254.7211506255762</v>
      </c>
      <c r="R10" s="544">
        <f t="shared" si="30"/>
        <v>155.70482793562903</v>
      </c>
      <c r="S10" s="544">
        <f t="shared" si="31"/>
        <v>753.98691981535694</v>
      </c>
      <c r="T10" s="544">
        <f t="shared" si="32"/>
        <v>3700.1100406609153</v>
      </c>
      <c r="U10" s="479">
        <f>U9*(1+'Fayette County Statistics'!$L$5)</f>
        <v>13222.230950221992</v>
      </c>
      <c r="V10" s="479">
        <f>V9*(1+'Fayette County Statistics'!$L$5)</f>
        <v>9882.4308723601025</v>
      </c>
      <c r="W10" s="479">
        <f>W9*(1+'Fayette County Statistics'!$L$5)</f>
        <v>5620.6631151200818</v>
      </c>
      <c r="X10" s="544">
        <f>X9*(1+'Fayette County Statistics'!$L$5)</f>
        <v>629.5142688934493</v>
      </c>
      <c r="Y10" s="544">
        <f>Y9*(1+'Fayette County Statistics'!$L$5)</f>
        <v>241.6885139501635</v>
      </c>
      <c r="Z10" s="544">
        <f t="shared" si="0"/>
        <v>871.20278284361279</v>
      </c>
      <c r="AA10" s="544">
        <f>'Bicycle Users'!X10</f>
        <v>224.60169808019836</v>
      </c>
      <c r="AB10" s="479">
        <f>'Bicycle Users'!Y10*10</f>
        <v>0</v>
      </c>
      <c r="AC10" s="479">
        <f>'Bicycle Users'!Z10*10</f>
        <v>799.98497918304963</v>
      </c>
      <c r="AD10" s="479">
        <f>'Bicycle Users'!AA10*10</f>
        <v>4639.8232952280632</v>
      </c>
      <c r="AE10" s="479">
        <f>'Bicycle Users'!AB10*10</f>
        <v>0</v>
      </c>
      <c r="AF10" s="479">
        <f>'Bicycle Users'!AC10*10</f>
        <v>887.98332689318477</v>
      </c>
      <c r="AG10" s="479">
        <f>'Bicycle Users'!AD10*10</f>
        <v>5150.2038577031499</v>
      </c>
      <c r="AH10" s="544">
        <f t="shared" si="33"/>
        <v>871.20278284361279</v>
      </c>
      <c r="AI10" s="544">
        <f t="shared" si="34"/>
        <v>1671.1877620266623</v>
      </c>
      <c r="AJ10" s="544">
        <f t="shared" si="35"/>
        <v>5511.0260780716762</v>
      </c>
      <c r="AK10" s="544">
        <f t="shared" si="36"/>
        <v>224.60169808019836</v>
      </c>
      <c r="AL10" s="544">
        <f t="shared" si="37"/>
        <v>1112.585024973383</v>
      </c>
      <c r="AM10" s="544">
        <f t="shared" si="38"/>
        <v>5374.8055557833486</v>
      </c>
      <c r="AN10" s="479">
        <f>AN9*(1+'Fayette County Statistics'!$L$5)</f>
        <v>14942.780441843617</v>
      </c>
      <c r="AO10" s="479">
        <f>AO9*(1+'Fayette County Statistics'!$L$6)</f>
        <v>11448.476946161774</v>
      </c>
      <c r="AP10" s="479">
        <f>AP9*(1+'Fayette County Statistics'!$L$6)</f>
        <v>6838.8035860097471</v>
      </c>
      <c r="AQ10" s="544">
        <f>AQ9*(1+'Fayette County Statistics'!$L$6)</f>
        <v>629.16992991289692</v>
      </c>
      <c r="AR10" s="544">
        <f>AR9*(1+'Fayette County Statistics'!$L$6)</f>
        <v>321.42376854245816</v>
      </c>
      <c r="AS10" s="544">
        <f t="shared" si="1"/>
        <v>950.59369845535502</v>
      </c>
      <c r="AT10" s="544">
        <f t="shared" ref="AT10:AT38" si="72">(AS10*(1.39-1))</f>
        <v>370.73154239758838</v>
      </c>
      <c r="AU10" s="479">
        <f t="shared" si="2"/>
        <v>0</v>
      </c>
      <c r="AV10" s="479">
        <f t="shared" si="3"/>
        <v>235.9126474757179</v>
      </c>
      <c r="AW10" s="479">
        <f t="shared" si="4"/>
        <v>1969.8782585876806</v>
      </c>
      <c r="AX10" s="479">
        <f t="shared" si="4"/>
        <v>0</v>
      </c>
      <c r="AY10" s="479">
        <f t="shared" ref="AY10:AY38" si="73">BE10-AT10</f>
        <v>92.005932515529935</v>
      </c>
      <c r="AZ10" s="479">
        <f t="shared" ref="AZ10:AZ38" si="74">BF10-AT10</f>
        <v>768.25252084919521</v>
      </c>
      <c r="BA10" s="544">
        <f t="shared" si="5"/>
        <v>950.59369845535502</v>
      </c>
      <c r="BB10" s="544">
        <f t="shared" si="6"/>
        <v>1186.5063459310729</v>
      </c>
      <c r="BC10" s="544">
        <f t="shared" si="7"/>
        <v>2920.4719570430357</v>
      </c>
      <c r="BD10" s="544">
        <f t="shared" si="52"/>
        <v>370.73154239758838</v>
      </c>
      <c r="BE10" s="544">
        <f t="shared" si="52"/>
        <v>462.73747491311832</v>
      </c>
      <c r="BF10" s="544">
        <f t="shared" si="52"/>
        <v>1138.9840632467835</v>
      </c>
      <c r="BG10" s="479">
        <f t="shared" si="8"/>
        <v>17576.127475046054</v>
      </c>
      <c r="BH10" s="479">
        <f t="shared" si="9"/>
        <v>13598.39506936101</v>
      </c>
      <c r="BI10" s="479">
        <f t="shared" si="10"/>
        <v>7743.7177638196863</v>
      </c>
      <c r="BJ10" s="544">
        <f t="shared" si="11"/>
        <v>939.48024760359147</v>
      </c>
      <c r="BK10" s="544">
        <f t="shared" si="12"/>
        <v>349.9643010338433</v>
      </c>
      <c r="BL10" s="544">
        <f t="shared" si="13"/>
        <v>1289.4445486374348</v>
      </c>
      <c r="BM10" s="544">
        <f t="shared" si="14"/>
        <v>380.30652601582739</v>
      </c>
      <c r="BN10" s="479">
        <f t="shared" si="39"/>
        <v>0</v>
      </c>
      <c r="BO10" s="479">
        <f t="shared" si="15"/>
        <v>1109.9757003642558</v>
      </c>
      <c r="BP10" s="479">
        <f t="shared" si="16"/>
        <v>6476.3026800598172</v>
      </c>
      <c r="BQ10" s="479">
        <f t="shared" si="17"/>
        <v>0</v>
      </c>
      <c r="BR10" s="479">
        <f t="shared" si="18"/>
        <v>1486.2654187729127</v>
      </c>
      <c r="BS10" s="479">
        <f t="shared" si="19"/>
        <v>8694.6090704284361</v>
      </c>
      <c r="BT10" s="544">
        <f t="shared" si="20"/>
        <v>1289.4445486374348</v>
      </c>
      <c r="BU10" s="544">
        <f t="shared" si="21"/>
        <v>2399.4202490016905</v>
      </c>
      <c r="BV10" s="544">
        <f t="shared" si="22"/>
        <v>7765.7472286972525</v>
      </c>
      <c r="BW10" s="544">
        <f t="shared" si="23"/>
        <v>380.30652601582739</v>
      </c>
      <c r="BX10" s="544">
        <f t="shared" si="24"/>
        <v>1866.57194478874</v>
      </c>
      <c r="BY10" s="544">
        <f t="shared" si="25"/>
        <v>9074.9155964442634</v>
      </c>
      <c r="CB10" s="491"/>
      <c r="CC10" s="491"/>
    </row>
    <row r="11" spans="1:81" x14ac:dyDescent="0.25">
      <c r="A11" s="486">
        <v>2022</v>
      </c>
      <c r="B11" s="479">
        <f>B10*(1+'Fayette County Statistics'!$L$5)</f>
        <v>4402.661759077243</v>
      </c>
      <c r="C11" s="479">
        <f>C10*(1+'Fayette County Statistics'!$L$5)</f>
        <v>3757.5843557506619</v>
      </c>
      <c r="D11" s="479">
        <f>D10*(1+'Fayette County Statistics'!$L$5)</f>
        <v>2146.8336376318975</v>
      </c>
      <c r="E11" s="544">
        <f>E10*(1+'Fayette County Statistics'!$L$5)</f>
        <v>313.437711094257</v>
      </c>
      <c r="F11" s="544">
        <f>F10*(1+'Fayette County Statistics'!$L$5)</f>
        <v>109.48851551922679</v>
      </c>
      <c r="G11" s="544">
        <f t="shared" si="26"/>
        <v>422.92622661348378</v>
      </c>
      <c r="H11" s="544">
        <f>'Bicycle Users'!G11</f>
        <v>157.4487789839234</v>
      </c>
      <c r="I11" s="479">
        <f>'Bicycle Users'!H11*10</f>
        <v>0</v>
      </c>
      <c r="J11" s="479">
        <f>'Bicycle Users'!I11*10</f>
        <v>313.46273069005065</v>
      </c>
      <c r="K11" s="479">
        <f>'Bicycle Users'!J11*10</f>
        <v>1857.0486259452821</v>
      </c>
      <c r="L11" s="479">
        <f>'Bicycle Users'!K11*10</f>
        <v>0</v>
      </c>
      <c r="M11" s="479">
        <f>'Bicycle Users'!L11*10</f>
        <v>604.98307023179791</v>
      </c>
      <c r="N11" s="479">
        <f>'Bicycle Users'!M11*10</f>
        <v>3584.1038480743955</v>
      </c>
      <c r="O11" s="544">
        <f t="shared" si="27"/>
        <v>422.92622661348378</v>
      </c>
      <c r="P11" s="544">
        <f t="shared" si="28"/>
        <v>736.38895730353443</v>
      </c>
      <c r="Q11" s="544">
        <f t="shared" si="29"/>
        <v>2279.9748525587656</v>
      </c>
      <c r="R11" s="544">
        <f t="shared" si="30"/>
        <v>157.4487789839234</v>
      </c>
      <c r="S11" s="544">
        <f t="shared" si="31"/>
        <v>762.43184921572129</v>
      </c>
      <c r="T11" s="544">
        <f t="shared" si="32"/>
        <v>3741.5526270583191</v>
      </c>
      <c r="U11" s="479">
        <f>U10*(1+'Fayette County Statistics'!$L$5)</f>
        <v>13370.324775135135</v>
      </c>
      <c r="V11" s="479">
        <f>V10*(1+'Fayette County Statistics'!$L$5)</f>
        <v>9993.1177143035929</v>
      </c>
      <c r="W11" s="479">
        <f>W10*(1+'Fayette County Statistics'!$L$5)</f>
        <v>5683.6165987190343</v>
      </c>
      <c r="X11" s="544">
        <f>X10*(1+'Fayette County Statistics'!$L$5)</f>
        <v>636.56505905653194</v>
      </c>
      <c r="Y11" s="544">
        <f>Y10*(1+'Fayette County Statistics'!$L$5)</f>
        <v>244.39551374491845</v>
      </c>
      <c r="Z11" s="544">
        <f t="shared" si="0"/>
        <v>880.96057280145033</v>
      </c>
      <c r="AA11" s="544">
        <f>'Bicycle Users'!X11</f>
        <v>227.11731928481248</v>
      </c>
      <c r="AB11" s="479">
        <f>'Bicycle Users'!Y11*10</f>
        <v>0</v>
      </c>
      <c r="AC11" s="479">
        <f>'Bicycle Users'!Z11*10</f>
        <v>808.94510367991359</v>
      </c>
      <c r="AD11" s="479">
        <f>'Bicycle Users'!AA11*10</f>
        <v>4691.7910139359183</v>
      </c>
      <c r="AE11" s="479">
        <f>'Bicycle Users'!AB11*10</f>
        <v>0</v>
      </c>
      <c r="AF11" s="479">
        <f>'Bicycle Users'!AC11*10</f>
        <v>897.92906508470423</v>
      </c>
      <c r="AG11" s="479">
        <f>'Bicycle Users'!AD11*10</f>
        <v>5207.8880254688693</v>
      </c>
      <c r="AH11" s="544">
        <f t="shared" si="33"/>
        <v>880.96057280145033</v>
      </c>
      <c r="AI11" s="544">
        <f t="shared" si="34"/>
        <v>1689.905676481364</v>
      </c>
      <c r="AJ11" s="544">
        <f t="shared" si="35"/>
        <v>5572.7515867373686</v>
      </c>
      <c r="AK11" s="544">
        <f t="shared" si="36"/>
        <v>227.11731928481248</v>
      </c>
      <c r="AL11" s="544">
        <f t="shared" si="37"/>
        <v>1125.0463843695168</v>
      </c>
      <c r="AM11" s="544">
        <f t="shared" si="38"/>
        <v>5435.005344753682</v>
      </c>
      <c r="AN11" s="479">
        <f>AN10*(1+'Fayette County Statistics'!$L$5)</f>
        <v>15110.14505064534</v>
      </c>
      <c r="AO11" s="479">
        <f>AO10*(1+'Fayette County Statistics'!$L$6)</f>
        <v>11582.614868681223</v>
      </c>
      <c r="AP11" s="479">
        <f>AP10*(1+'Fayette County Statistics'!$L$6)</f>
        <v>6918.9315287797635</v>
      </c>
      <c r="AQ11" s="544">
        <f>AQ10*(1+'Fayette County Statistics'!$L$6)</f>
        <v>636.54170064773848</v>
      </c>
      <c r="AR11" s="544">
        <f>AR10*(1+'Fayette County Statistics'!$L$6)</f>
        <v>325.18978185264893</v>
      </c>
      <c r="AS11" s="544">
        <f t="shared" si="1"/>
        <v>961.73148250038741</v>
      </c>
      <c r="AT11" s="544">
        <f t="shared" si="72"/>
        <v>375.07527817515097</v>
      </c>
      <c r="AU11" s="479">
        <f t="shared" si="2"/>
        <v>0</v>
      </c>
      <c r="AV11" s="479">
        <f t="shared" si="3"/>
        <v>238.6767559748024</v>
      </c>
      <c r="AW11" s="479">
        <f t="shared" si="4"/>
        <v>1992.9586542128623</v>
      </c>
      <c r="AX11" s="479">
        <f t="shared" si="4"/>
        <v>0</v>
      </c>
      <c r="AY11" s="479">
        <f t="shared" si="73"/>
        <v>93.08393483017295</v>
      </c>
      <c r="AZ11" s="479">
        <f t="shared" si="74"/>
        <v>777.2538751430161</v>
      </c>
      <c r="BA11" s="544">
        <f t="shared" si="5"/>
        <v>961.73148250038741</v>
      </c>
      <c r="BB11" s="544">
        <f t="shared" si="6"/>
        <v>1200.4082384751898</v>
      </c>
      <c r="BC11" s="544">
        <f t="shared" si="7"/>
        <v>2954.6901367132496</v>
      </c>
      <c r="BD11" s="544">
        <f t="shared" ref="BD11:BF38" si="75">(BA11*(1.39-1))</f>
        <v>375.07527817515097</v>
      </c>
      <c r="BE11" s="544">
        <f t="shared" si="75"/>
        <v>468.15921300532392</v>
      </c>
      <c r="BF11" s="544">
        <f t="shared" si="75"/>
        <v>1152.3291533181671</v>
      </c>
      <c r="BG11" s="479">
        <f t="shared" si="8"/>
        <v>17772.986534212378</v>
      </c>
      <c r="BH11" s="479">
        <f t="shared" si="9"/>
        <v>13750.702070054254</v>
      </c>
      <c r="BI11" s="479">
        <f t="shared" si="10"/>
        <v>7830.4502363509318</v>
      </c>
      <c r="BJ11" s="544">
        <f t="shared" si="11"/>
        <v>950.00277015078893</v>
      </c>
      <c r="BK11" s="544">
        <f t="shared" si="12"/>
        <v>353.88402926414523</v>
      </c>
      <c r="BL11" s="544">
        <f t="shared" si="13"/>
        <v>1303.8867994149341</v>
      </c>
      <c r="BM11" s="544">
        <f t="shared" si="14"/>
        <v>384.56609826873591</v>
      </c>
      <c r="BN11" s="479">
        <f t="shared" si="39"/>
        <v>0</v>
      </c>
      <c r="BO11" s="479">
        <f t="shared" si="15"/>
        <v>1122.4078343699643</v>
      </c>
      <c r="BP11" s="479">
        <f t="shared" si="16"/>
        <v>6548.8396398812001</v>
      </c>
      <c r="BQ11" s="479">
        <f t="shared" si="17"/>
        <v>0</v>
      </c>
      <c r="BR11" s="479">
        <f t="shared" si="18"/>
        <v>1502.9121353165021</v>
      </c>
      <c r="BS11" s="479">
        <f t="shared" si="19"/>
        <v>8791.9918735432657</v>
      </c>
      <c r="BT11" s="544">
        <f t="shared" si="20"/>
        <v>1303.8867994149341</v>
      </c>
      <c r="BU11" s="544">
        <f t="shared" si="21"/>
        <v>2426.2946337848985</v>
      </c>
      <c r="BV11" s="544">
        <f t="shared" si="22"/>
        <v>7852.7264392961342</v>
      </c>
      <c r="BW11" s="544">
        <f t="shared" si="23"/>
        <v>384.56609826873591</v>
      </c>
      <c r="BX11" s="544">
        <f t="shared" si="24"/>
        <v>1887.4782335852381</v>
      </c>
      <c r="BY11" s="544">
        <f t="shared" si="25"/>
        <v>9176.5579718120007</v>
      </c>
      <c r="CB11" s="491"/>
      <c r="CC11" s="491"/>
    </row>
    <row r="12" spans="1:81" x14ac:dyDescent="0.25">
      <c r="A12" s="486">
        <v>2023</v>
      </c>
      <c r="B12" s="479">
        <f>B11*(1+'Fayette County Statistics'!$L$5)</f>
        <v>4451.9731817982047</v>
      </c>
      <c r="C12" s="479">
        <f>C11*(1+'Fayette County Statistics'!$L$5)</f>
        <v>3799.6706755080372</v>
      </c>
      <c r="D12" s="479">
        <f>D11*(1+'Fayette County Statistics'!$L$5)</f>
        <v>2170.8789599414258</v>
      </c>
      <c r="E12" s="544">
        <f>E11*(1+'Fayette County Statistics'!$L$5)</f>
        <v>316.9483281514481</v>
      </c>
      <c r="F12" s="544">
        <f>F11*(1+'Fayette County Statistics'!$L$5)</f>
        <v>110.71482695701273</v>
      </c>
      <c r="G12" s="544">
        <f t="shared" si="26"/>
        <v>427.66315510846084</v>
      </c>
      <c r="H12" s="544">
        <f>'Bicycle Users'!G12</f>
        <v>159.2122629221042</v>
      </c>
      <c r="I12" s="479">
        <f>'Bicycle Users'!H12*10</f>
        <v>0</v>
      </c>
      <c r="J12" s="479">
        <f>'Bicycle Users'!I12*10</f>
        <v>316.97362797586976</v>
      </c>
      <c r="K12" s="479">
        <f>'Bicycle Users'!J12*10</f>
        <v>1877.8482500859661</v>
      </c>
      <c r="L12" s="479">
        <f>'Bicycle Users'!K12*10</f>
        <v>0</v>
      </c>
      <c r="M12" s="479">
        <f>'Bicycle Users'!L12*10</f>
        <v>611.75910199342866</v>
      </c>
      <c r="N12" s="479">
        <f>'Bicycle Users'!M12*10</f>
        <v>3624.2471226659154</v>
      </c>
      <c r="O12" s="544">
        <f t="shared" si="27"/>
        <v>427.66315510846084</v>
      </c>
      <c r="P12" s="544">
        <f t="shared" si="28"/>
        <v>744.63678308433055</v>
      </c>
      <c r="Q12" s="544">
        <f t="shared" si="29"/>
        <v>2305.511405194427</v>
      </c>
      <c r="R12" s="544">
        <f t="shared" si="30"/>
        <v>159.2122629221042</v>
      </c>
      <c r="S12" s="544">
        <f t="shared" si="31"/>
        <v>770.97136491553283</v>
      </c>
      <c r="T12" s="544">
        <f t="shared" si="32"/>
        <v>3783.4593855880198</v>
      </c>
      <c r="U12" s="479">
        <f>U11*(1+'Fayette County Statistics'!$L$5)</f>
        <v>13520.077305077708</v>
      </c>
      <c r="V12" s="479">
        <f>V11*(1+'Fayette County Statistics'!$L$5)</f>
        <v>10105.044289379312</v>
      </c>
      <c r="W12" s="479">
        <f>W11*(1+'Fayette County Statistics'!$L$5)</f>
        <v>5747.2751843701953</v>
      </c>
      <c r="X12" s="544">
        <f>X11*(1+'Fayette County Statistics'!$L$5)</f>
        <v>643.69482064946192</v>
      </c>
      <c r="Y12" s="544">
        <f>Y11*(1+'Fayette County Statistics'!$L$5)</f>
        <v>247.13283292791834</v>
      </c>
      <c r="Z12" s="544">
        <f t="shared" si="0"/>
        <v>890.82765357738026</v>
      </c>
      <c r="AA12" s="544">
        <f>'Bicycle Users'!X12</f>
        <v>229.66111636743287</v>
      </c>
      <c r="AB12" s="479">
        <f>'Bicycle Users'!Y12*10</f>
        <v>0</v>
      </c>
      <c r="AC12" s="479">
        <f>'Bicycle Users'!Z12*10</f>
        <v>818.00558484982616</v>
      </c>
      <c r="AD12" s="479">
        <f>'Bicycle Users'!AA12*10</f>
        <v>4744.3407901092978</v>
      </c>
      <c r="AE12" s="479">
        <f>'Bicycle Users'!AB12*10</f>
        <v>0</v>
      </c>
      <c r="AF12" s="479">
        <f>'Bicycle Users'!AC12*10</f>
        <v>907.98619918330678</v>
      </c>
      <c r="AG12" s="479">
        <f>'Bicycle Users'!AD12*10</f>
        <v>5266.2182770213203</v>
      </c>
      <c r="AH12" s="544">
        <f t="shared" si="33"/>
        <v>890.82765357738026</v>
      </c>
      <c r="AI12" s="544">
        <f t="shared" si="34"/>
        <v>1708.8332384272064</v>
      </c>
      <c r="AJ12" s="544">
        <f t="shared" si="35"/>
        <v>5635.1684436866781</v>
      </c>
      <c r="AK12" s="544">
        <f t="shared" si="36"/>
        <v>229.66111636743287</v>
      </c>
      <c r="AL12" s="544">
        <f t="shared" si="37"/>
        <v>1137.6473155507397</v>
      </c>
      <c r="AM12" s="544">
        <f t="shared" si="38"/>
        <v>5495.8793933887528</v>
      </c>
      <c r="AN12" s="479">
        <f>AN11*(1+'Fayette County Statistics'!$L$5)</f>
        <v>15279.384204307598</v>
      </c>
      <c r="AO12" s="479">
        <f>AO11*(1+'Fayette County Statistics'!$L$6)</f>
        <v>11718.32443975641</v>
      </c>
      <c r="AP12" s="479">
        <f>AP11*(1+'Fayette County Statistics'!$L$6)</f>
        <v>6999.9983034860697</v>
      </c>
      <c r="AQ12" s="544">
        <f>AQ11*(1+'Fayette County Statistics'!$L$6)</f>
        <v>643.9998439207186</v>
      </c>
      <c r="AR12" s="544">
        <f>AR11*(1+'Fayette County Statistics'!$L$6)</f>
        <v>328.9999202638453</v>
      </c>
      <c r="AS12" s="544">
        <f t="shared" si="1"/>
        <v>972.9997641845639</v>
      </c>
      <c r="AT12" s="544">
        <f t="shared" si="72"/>
        <v>379.4699080319798</v>
      </c>
      <c r="AU12" s="479">
        <f t="shared" si="2"/>
        <v>0</v>
      </c>
      <c r="AV12" s="479">
        <f t="shared" si="3"/>
        <v>241.47325059593845</v>
      </c>
      <c r="AW12" s="479">
        <f t="shared" si="4"/>
        <v>2016.3094750076662</v>
      </c>
      <c r="AX12" s="479">
        <f t="shared" si="4"/>
        <v>0</v>
      </c>
      <c r="AY12" s="479">
        <f t="shared" si="73"/>
        <v>94.174567732415994</v>
      </c>
      <c r="AZ12" s="479">
        <f t="shared" si="74"/>
        <v>786.36069525298956</v>
      </c>
      <c r="BA12" s="544">
        <f t="shared" si="5"/>
        <v>972.9997641845639</v>
      </c>
      <c r="BB12" s="544">
        <f t="shared" si="6"/>
        <v>1214.4730147805024</v>
      </c>
      <c r="BC12" s="544">
        <f t="shared" si="7"/>
        <v>2989.3092391922301</v>
      </c>
      <c r="BD12" s="544">
        <f t="shared" si="75"/>
        <v>379.4699080319798</v>
      </c>
      <c r="BE12" s="544">
        <f t="shared" si="75"/>
        <v>473.64447576439579</v>
      </c>
      <c r="BF12" s="544">
        <f t="shared" si="75"/>
        <v>1165.8306032849694</v>
      </c>
      <c r="BG12" s="479">
        <f t="shared" si="8"/>
        <v>17972.050486875913</v>
      </c>
      <c r="BH12" s="479">
        <f t="shared" si="9"/>
        <v>13904.714964887349</v>
      </c>
      <c r="BI12" s="479">
        <f t="shared" si="10"/>
        <v>7918.1541443116212</v>
      </c>
      <c r="BJ12" s="544">
        <f t="shared" si="11"/>
        <v>960.64314880091001</v>
      </c>
      <c r="BK12" s="544">
        <f t="shared" si="12"/>
        <v>357.84765988493109</v>
      </c>
      <c r="BL12" s="544">
        <f t="shared" si="13"/>
        <v>1318.4908086858411</v>
      </c>
      <c r="BM12" s="544">
        <f t="shared" si="14"/>
        <v>388.87337928953707</v>
      </c>
      <c r="BN12" s="479">
        <f t="shared" si="39"/>
        <v>0</v>
      </c>
      <c r="BO12" s="479">
        <f t="shared" si="15"/>
        <v>1134.9792128256959</v>
      </c>
      <c r="BP12" s="479">
        <f t="shared" si="16"/>
        <v>6622.1890401952642</v>
      </c>
      <c r="BQ12" s="479">
        <f t="shared" si="17"/>
        <v>0</v>
      </c>
      <c r="BR12" s="479">
        <f t="shared" si="18"/>
        <v>1519.7453011767354</v>
      </c>
      <c r="BS12" s="479">
        <f t="shared" si="19"/>
        <v>8890.4653996872366</v>
      </c>
      <c r="BT12" s="544">
        <f t="shared" si="20"/>
        <v>1318.4908086858411</v>
      </c>
      <c r="BU12" s="544">
        <f t="shared" si="21"/>
        <v>2453.4700215115372</v>
      </c>
      <c r="BV12" s="544">
        <f t="shared" si="22"/>
        <v>7940.6798488811055</v>
      </c>
      <c r="BW12" s="544">
        <f t="shared" si="23"/>
        <v>388.87337928953707</v>
      </c>
      <c r="BX12" s="544">
        <f t="shared" si="24"/>
        <v>1908.6186804662725</v>
      </c>
      <c r="BY12" s="544">
        <f t="shared" si="25"/>
        <v>9279.338778976773</v>
      </c>
      <c r="CB12" s="491"/>
      <c r="CC12" s="491"/>
    </row>
    <row r="13" spans="1:81" x14ac:dyDescent="0.25">
      <c r="A13" s="486">
        <v>2024</v>
      </c>
      <c r="B13" s="479">
        <f>B12*(1+'Fayette County Statistics'!$L$5)</f>
        <v>4501.8369104976464</v>
      </c>
      <c r="C13" s="479">
        <f>C12*(1+'Fayette County Statistics'!$L$5)</f>
        <v>3842.2283774468956</v>
      </c>
      <c r="D13" s="479">
        <f>D12*(1+'Fayette County Statistics'!$L$5)</f>
        <v>2195.1935986594704</v>
      </c>
      <c r="E13" s="544">
        <f>E12*(1+'Fayette County Statistics'!$L$5)</f>
        <v>320.49826540428256</v>
      </c>
      <c r="F13" s="544">
        <f>F12*(1+'Fayette County Statistics'!$L$5)</f>
        <v>111.954873531633</v>
      </c>
      <c r="G13" s="544">
        <f t="shared" si="26"/>
        <v>432.45313893591555</v>
      </c>
      <c r="H13" s="544">
        <f>'Bicycle Users'!G13</f>
        <v>160.99549852568558</v>
      </c>
      <c r="I13" s="479">
        <f>'Bicycle Users'!H13*10</f>
        <v>0</v>
      </c>
      <c r="J13" s="479">
        <f>'Bicycle Users'!I13*10</f>
        <v>320.52384859599556</v>
      </c>
      <c r="K13" s="479">
        <f>'Bicycle Users'!J13*10</f>
        <v>1898.880837628011</v>
      </c>
      <c r="L13" s="479">
        <f>'Bicycle Users'!K13*10</f>
        <v>0</v>
      </c>
      <c r="M13" s="479">
        <f>'Bicycle Users'!L13*10</f>
        <v>618.61102779027135</v>
      </c>
      <c r="N13" s="479">
        <f>'Bicycle Users'!M13*10</f>
        <v>3664.8400166220617</v>
      </c>
      <c r="O13" s="544">
        <f t="shared" si="27"/>
        <v>432.45313893591555</v>
      </c>
      <c r="P13" s="544">
        <f t="shared" si="28"/>
        <v>752.97698753191116</v>
      </c>
      <c r="Q13" s="544">
        <f t="shared" si="29"/>
        <v>2331.3339765639266</v>
      </c>
      <c r="R13" s="544">
        <f t="shared" si="30"/>
        <v>160.99549852568558</v>
      </c>
      <c r="S13" s="544">
        <f t="shared" si="31"/>
        <v>779.6065263159569</v>
      </c>
      <c r="T13" s="544">
        <f t="shared" si="32"/>
        <v>3825.8355151477472</v>
      </c>
      <c r="U13" s="479">
        <f>U12*(1+'Fayette County Statistics'!$L$5)</f>
        <v>13671.507118152991</v>
      </c>
      <c r="V13" s="479">
        <f>V12*(1+'Fayette County Statistics'!$L$5)</f>
        <v>10218.224483051981</v>
      </c>
      <c r="W13" s="479">
        <f>W12*(1+'Fayette County Statistics'!$L$5)</f>
        <v>5811.6467694745597</v>
      </c>
      <c r="X13" s="544">
        <f>X12*(1+'Fayette County Statistics'!$L$5)</f>
        <v>650.90443818115068</v>
      </c>
      <c r="Y13" s="544">
        <f>Y12*(1+'Fayette County Statistics'!$L$5)</f>
        <v>249.900811087406</v>
      </c>
      <c r="Z13" s="544">
        <f t="shared" si="0"/>
        <v>900.80524926855674</v>
      </c>
      <c r="AA13" s="544">
        <f>'Bicycle Users'!X13</f>
        <v>232.23340490820325</v>
      </c>
      <c r="AB13" s="479">
        <f>'Bicycle Users'!Y13*10</f>
        <v>0</v>
      </c>
      <c r="AC13" s="479">
        <f>'Bicycle Users'!Z13*10</f>
        <v>827.16754672424736</v>
      </c>
      <c r="AD13" s="479">
        <f>'Bicycle Users'!AA13*10</f>
        <v>4797.4791430048008</v>
      </c>
      <c r="AE13" s="479">
        <f>'Bicycle Users'!AB13*10</f>
        <v>0</v>
      </c>
      <c r="AF13" s="479">
        <f>'Bicycle Users'!AC13*10</f>
        <v>918.15597686391447</v>
      </c>
      <c r="AG13" s="479">
        <f>'Bicycle Users'!AD13*10</f>
        <v>5325.2018487353271</v>
      </c>
      <c r="AH13" s="544">
        <f t="shared" si="33"/>
        <v>900.80524926855674</v>
      </c>
      <c r="AI13" s="544">
        <f t="shared" si="34"/>
        <v>1727.9727959928041</v>
      </c>
      <c r="AJ13" s="544">
        <f t="shared" si="35"/>
        <v>5698.2843922733573</v>
      </c>
      <c r="AK13" s="544">
        <f t="shared" si="36"/>
        <v>232.23340490820325</v>
      </c>
      <c r="AL13" s="544">
        <f t="shared" si="37"/>
        <v>1150.3893817721178</v>
      </c>
      <c r="AM13" s="544">
        <f t="shared" si="38"/>
        <v>5557.4352536435299</v>
      </c>
      <c r="AN13" s="479">
        <f>AN12*(1+'Fayette County Statistics'!$L$5)</f>
        <v>15450.518898418761</v>
      </c>
      <c r="AO13" s="479">
        <f>AO12*(1+'Fayette County Statistics'!$L$6)</f>
        <v>11855.624073860561</v>
      </c>
      <c r="AP13" s="479">
        <f>AP12*(1+'Fayette County Statistics'!$L$6)</f>
        <v>7082.0149101041306</v>
      </c>
      <c r="AQ13" s="544">
        <f>AQ12*(1+'Fayette County Statistics'!$L$6)</f>
        <v>651.54537172958021</v>
      </c>
      <c r="AR13" s="544">
        <f>AR12*(1+'Fayette County Statistics'!$L$6)</f>
        <v>332.85470077489418</v>
      </c>
      <c r="AS13" s="544">
        <f t="shared" si="1"/>
        <v>984.40007250447434</v>
      </c>
      <c r="AT13" s="544">
        <f t="shared" si="72"/>
        <v>383.9160282767449</v>
      </c>
      <c r="AU13" s="479">
        <f t="shared" si="2"/>
        <v>0</v>
      </c>
      <c r="AV13" s="479">
        <f t="shared" si="3"/>
        <v>244.30251079633695</v>
      </c>
      <c r="AW13" s="479">
        <f t="shared" si="4"/>
        <v>2039.933889452112</v>
      </c>
      <c r="AX13" s="479">
        <f t="shared" si="4"/>
        <v>0</v>
      </c>
      <c r="AY13" s="479">
        <f t="shared" si="73"/>
        <v>95.277979210571402</v>
      </c>
      <c r="AZ13" s="479">
        <f t="shared" si="74"/>
        <v>795.57421688632337</v>
      </c>
      <c r="BA13" s="544">
        <f t="shared" si="5"/>
        <v>984.40007250447434</v>
      </c>
      <c r="BB13" s="544">
        <f t="shared" si="6"/>
        <v>1228.7025833008113</v>
      </c>
      <c r="BC13" s="544">
        <f t="shared" si="7"/>
        <v>3024.3339619565863</v>
      </c>
      <c r="BD13" s="544">
        <f t="shared" si="75"/>
        <v>383.9160282767449</v>
      </c>
      <c r="BE13" s="544">
        <f t="shared" si="75"/>
        <v>479.1940074873163</v>
      </c>
      <c r="BF13" s="544">
        <f t="shared" si="75"/>
        <v>1179.4902451630683</v>
      </c>
      <c r="BG13" s="479">
        <f t="shared" si="8"/>
        <v>18173.344028650637</v>
      </c>
      <c r="BH13" s="479">
        <f t="shared" si="9"/>
        <v>14060.452860498877</v>
      </c>
      <c r="BI13" s="479">
        <f t="shared" si="10"/>
        <v>8006.8403681340296</v>
      </c>
      <c r="BJ13" s="544">
        <f t="shared" si="11"/>
        <v>971.4027035854333</v>
      </c>
      <c r="BK13" s="544">
        <f t="shared" si="12"/>
        <v>361.85568461903898</v>
      </c>
      <c r="BL13" s="544">
        <f t="shared" si="13"/>
        <v>1333.2583882044723</v>
      </c>
      <c r="BM13" s="544">
        <f t="shared" si="14"/>
        <v>393.22890343388883</v>
      </c>
      <c r="BN13" s="479">
        <f t="shared" si="39"/>
        <v>0</v>
      </c>
      <c r="BO13" s="479">
        <f t="shared" si="15"/>
        <v>1147.6913953202429</v>
      </c>
      <c r="BP13" s="479">
        <f t="shared" si="16"/>
        <v>6696.359980632812</v>
      </c>
      <c r="BQ13" s="479">
        <f t="shared" si="17"/>
        <v>0</v>
      </c>
      <c r="BR13" s="479">
        <f t="shared" si="18"/>
        <v>1536.7670046541857</v>
      </c>
      <c r="BS13" s="479">
        <f t="shared" si="19"/>
        <v>8990.0418653573888</v>
      </c>
      <c r="BT13" s="544">
        <f t="shared" si="20"/>
        <v>1333.2583882044723</v>
      </c>
      <c r="BU13" s="544">
        <f t="shared" si="21"/>
        <v>2480.9497835247153</v>
      </c>
      <c r="BV13" s="544">
        <f t="shared" si="22"/>
        <v>8029.6183688372839</v>
      </c>
      <c r="BW13" s="544">
        <f t="shared" si="23"/>
        <v>393.22890343388883</v>
      </c>
      <c r="BX13" s="544">
        <f t="shared" si="24"/>
        <v>1929.9959080880747</v>
      </c>
      <c r="BY13" s="544">
        <f t="shared" si="25"/>
        <v>9383.2707687912771</v>
      </c>
      <c r="CB13" s="491"/>
      <c r="CC13" s="491"/>
    </row>
    <row r="14" spans="1:81" x14ac:dyDescent="0.25">
      <c r="A14" s="486">
        <v>2025</v>
      </c>
      <c r="B14" s="479">
        <f>B13*(1+'Fayette County Statistics'!$L$5)</f>
        <v>4552.259131204627</v>
      </c>
      <c r="C14" s="479">
        <f>C13*(1+'Fayette County Statistics'!$L$5)</f>
        <v>3885.2627412201573</v>
      </c>
      <c r="D14" s="479">
        <f>D13*(1+'Fayette County Statistics'!$L$5)</f>
        <v>2219.7805702283545</v>
      </c>
      <c r="E14" s="544">
        <f>E13*(1+'Fayette County Statistics'!$L$5)</f>
        <v>324.08796325333964</v>
      </c>
      <c r="F14" s="544">
        <f>F13*(1+'Fayette County Statistics'!$L$5)</f>
        <v>113.20880908164609</v>
      </c>
      <c r="G14" s="544">
        <f t="shared" si="26"/>
        <v>437.29677233498575</v>
      </c>
      <c r="H14" s="544">
        <f>'Bicycle Users'!G14</f>
        <v>162.79870702054754</v>
      </c>
      <c r="I14" s="479">
        <f>'Bicycle Users'!H14*10</f>
        <v>0</v>
      </c>
      <c r="J14" s="479">
        <f>'Bicycle Users'!I14*10</f>
        <v>324.11383298616113</v>
      </c>
      <c r="K14" s="479">
        <f>'Bicycle Users'!J14*10</f>
        <v>1920.1489978467589</v>
      </c>
      <c r="L14" s="479">
        <f>'Bicycle Users'!K14*10</f>
        <v>0</v>
      </c>
      <c r="M14" s="479">
        <f>'Bicycle Users'!L14*10</f>
        <v>625.53969766329124</v>
      </c>
      <c r="N14" s="479">
        <f>'Bicycle Users'!M14*10</f>
        <v>3705.8875658442448</v>
      </c>
      <c r="O14" s="544">
        <f t="shared" si="27"/>
        <v>437.29677233498575</v>
      </c>
      <c r="P14" s="544">
        <f t="shared" si="28"/>
        <v>761.41060532114693</v>
      </c>
      <c r="Q14" s="544">
        <f t="shared" si="29"/>
        <v>2357.4457701817446</v>
      </c>
      <c r="R14" s="544">
        <f t="shared" si="30"/>
        <v>162.79870702054754</v>
      </c>
      <c r="S14" s="544">
        <f t="shared" si="31"/>
        <v>788.3384046838388</v>
      </c>
      <c r="T14" s="544">
        <f t="shared" si="32"/>
        <v>3868.6862728647925</v>
      </c>
      <c r="U14" s="479">
        <f>U13*(1+'Fayette County Statistics'!$L$5)</f>
        <v>13824.633000545822</v>
      </c>
      <c r="V14" s="479">
        <f>V13*(1+'Fayette County Statistics'!$L$5)</f>
        <v>10332.672336308613</v>
      </c>
      <c r="W14" s="479">
        <f>W13*(1+'Fayette County Statistics'!$L$5)</f>
        <v>5876.7393398869035</v>
      </c>
      <c r="X14" s="544">
        <f>X13*(1+'Fayette County Statistics'!$L$5)</f>
        <v>658.19480606733327</v>
      </c>
      <c r="Y14" s="544">
        <f>Y13*(1+'Fayette County Statistics'!$L$5)</f>
        <v>252.6997916151368</v>
      </c>
      <c r="Z14" s="544">
        <f t="shared" si="0"/>
        <v>910.89459768247002</v>
      </c>
      <c r="AA14" s="544">
        <f>'Bicycle Users'!X14</f>
        <v>234.83450402188052</v>
      </c>
      <c r="AB14" s="479">
        <f>'Bicycle Users'!Y14*10</f>
        <v>0</v>
      </c>
      <c r="AC14" s="479">
        <f>'Bicycle Users'!Z14*10</f>
        <v>836.43212592420127</v>
      </c>
      <c r="AD14" s="479">
        <f>'Bicycle Users'!AA14*10</f>
        <v>4851.2126648970852</v>
      </c>
      <c r="AE14" s="479">
        <f>'Bicycle Users'!AB14*10</f>
        <v>0</v>
      </c>
      <c r="AF14" s="479">
        <f>'Bicycle Users'!AC14*10</f>
        <v>928.43965977586345</v>
      </c>
      <c r="AG14" s="479">
        <f>'Bicycle Users'!AD14*10</f>
        <v>5384.8460580357641</v>
      </c>
      <c r="AH14" s="544">
        <f t="shared" si="33"/>
        <v>910.89459768247002</v>
      </c>
      <c r="AI14" s="544">
        <f t="shared" si="34"/>
        <v>1747.3267236066713</v>
      </c>
      <c r="AJ14" s="544">
        <f t="shared" si="35"/>
        <v>5762.107262579555</v>
      </c>
      <c r="AK14" s="544">
        <f t="shared" si="36"/>
        <v>234.83450402188052</v>
      </c>
      <c r="AL14" s="544">
        <f t="shared" si="37"/>
        <v>1163.274163797744</v>
      </c>
      <c r="AM14" s="544">
        <f t="shared" si="38"/>
        <v>5619.6805620576442</v>
      </c>
      <c r="AN14" s="479">
        <f>AN13*(1+'Fayette County Statistics'!$L$5)</f>
        <v>15623.57036372547</v>
      </c>
      <c r="AO14" s="479">
        <f>AO13*(1+'Fayette County Statistics'!$L$6)</f>
        <v>11994.532401223039</v>
      </c>
      <c r="AP14" s="479">
        <f>AP13*(1+'Fayette County Statistics'!$L$6)</f>
        <v>7164.9924774923957</v>
      </c>
      <c r="AQ14" s="544">
        <f>AQ13*(1+'Fayette County Statistics'!$L$6)</f>
        <v>659.17930792930053</v>
      </c>
      <c r="AR14" s="544">
        <f>AR13*(1+'Fayette County Statistics'!$L$6)</f>
        <v>336.75464644214264</v>
      </c>
      <c r="AS14" s="544">
        <f t="shared" si="1"/>
        <v>995.93395437144318</v>
      </c>
      <c r="AT14" s="544">
        <f t="shared" si="72"/>
        <v>388.41424220486272</v>
      </c>
      <c r="AU14" s="479">
        <f t="shared" si="2"/>
        <v>0</v>
      </c>
      <c r="AV14" s="479">
        <f t="shared" si="3"/>
        <v>247.16492047918064</v>
      </c>
      <c r="AW14" s="479">
        <f t="shared" si="4"/>
        <v>2063.8351031502248</v>
      </c>
      <c r="AX14" s="479">
        <f t="shared" si="4"/>
        <v>0</v>
      </c>
      <c r="AY14" s="479">
        <f t="shared" si="73"/>
        <v>96.394318986880478</v>
      </c>
      <c r="AZ14" s="479">
        <f t="shared" si="74"/>
        <v>804.89569022858757</v>
      </c>
      <c r="BA14" s="544">
        <f t="shared" si="5"/>
        <v>995.93395437144318</v>
      </c>
      <c r="BB14" s="544">
        <f t="shared" si="6"/>
        <v>1243.0988748506238</v>
      </c>
      <c r="BC14" s="544">
        <f t="shared" si="7"/>
        <v>3059.7690575216679</v>
      </c>
      <c r="BD14" s="544">
        <f t="shared" si="75"/>
        <v>388.41424220486272</v>
      </c>
      <c r="BE14" s="544">
        <f t="shared" si="75"/>
        <v>484.80856119174319</v>
      </c>
      <c r="BF14" s="544">
        <f t="shared" si="75"/>
        <v>1193.3099324334503</v>
      </c>
      <c r="BG14" s="479">
        <f t="shared" si="8"/>
        <v>18376.89213175045</v>
      </c>
      <c r="BH14" s="479">
        <f t="shared" si="9"/>
        <v>14217.935077528771</v>
      </c>
      <c r="BI14" s="479">
        <f t="shared" si="10"/>
        <v>8096.5199101152575</v>
      </c>
      <c r="BJ14" s="544">
        <f t="shared" si="11"/>
        <v>982.28276932067297</v>
      </c>
      <c r="BK14" s="544">
        <f t="shared" si="12"/>
        <v>365.90860069678291</v>
      </c>
      <c r="BL14" s="544">
        <f t="shared" si="13"/>
        <v>1348.1913700174557</v>
      </c>
      <c r="BM14" s="544">
        <f t="shared" si="14"/>
        <v>397.63321104242806</v>
      </c>
      <c r="BN14" s="479">
        <f t="shared" si="39"/>
        <v>0</v>
      </c>
      <c r="BO14" s="479">
        <f t="shared" si="15"/>
        <v>1160.5459589103625</v>
      </c>
      <c r="BP14" s="479">
        <f t="shared" si="16"/>
        <v>6771.3616627438441</v>
      </c>
      <c r="BQ14" s="479">
        <f t="shared" si="17"/>
        <v>0</v>
      </c>
      <c r="BR14" s="479">
        <f t="shared" si="18"/>
        <v>1553.9793574391547</v>
      </c>
      <c r="BS14" s="479">
        <f t="shared" si="19"/>
        <v>9090.733623880009</v>
      </c>
      <c r="BT14" s="544">
        <f t="shared" si="20"/>
        <v>1348.1913700174557</v>
      </c>
      <c r="BU14" s="544">
        <f t="shared" si="21"/>
        <v>2508.7373289278185</v>
      </c>
      <c r="BV14" s="544">
        <f t="shared" si="22"/>
        <v>8119.5530327612996</v>
      </c>
      <c r="BW14" s="544">
        <f t="shared" si="23"/>
        <v>397.63321104242806</v>
      </c>
      <c r="BX14" s="544">
        <f t="shared" si="24"/>
        <v>1951.6125684815829</v>
      </c>
      <c r="BY14" s="544">
        <f t="shared" si="25"/>
        <v>9488.3668349224372</v>
      </c>
      <c r="CB14" s="491"/>
      <c r="CC14" s="491"/>
    </row>
    <row r="15" spans="1:81" x14ac:dyDescent="0.25">
      <c r="A15" s="486">
        <v>2026</v>
      </c>
      <c r="B15" s="479">
        <f>B14*(1+'Fayette County Statistics'!$L$5)</f>
        <v>4603.2460992339938</v>
      </c>
      <c r="C15" s="479">
        <f>C14*(1+'Fayette County Statistics'!$L$5)</f>
        <v>3928.7791056147876</v>
      </c>
      <c r="D15" s="479">
        <f>D14*(1+'Fayette County Statistics'!$L$5)</f>
        <v>2244.6429248756599</v>
      </c>
      <c r="E15" s="544">
        <f>E14*(1+'Fayette County Statistics'!$L$5)</f>
        <v>327.7178670318462</v>
      </c>
      <c r="F15" s="544">
        <f>F14*(1+'Fayette County Statistics'!$L$5)</f>
        <v>114.47678916865867</v>
      </c>
      <c r="G15" s="544">
        <f t="shared" si="26"/>
        <v>442.19465620050488</v>
      </c>
      <c r="H15" s="544">
        <f>'Bicycle Users'!G15</f>
        <v>164.62211211038093</v>
      </c>
      <c r="I15" s="479">
        <f>'Bicycle Users'!H15*10</f>
        <v>0</v>
      </c>
      <c r="J15" s="479">
        <f>'Bicycle Users'!I15*10</f>
        <v>327.74402651514163</v>
      </c>
      <c r="K15" s="479">
        <f>'Bicycle Users'!J15*10</f>
        <v>1941.6553692423886</v>
      </c>
      <c r="L15" s="479">
        <f>'Bicycle Users'!K15*10</f>
        <v>0</v>
      </c>
      <c r="M15" s="479">
        <f>'Bicycle Users'!L15*10</f>
        <v>632.5459711742235</v>
      </c>
      <c r="N15" s="479">
        <f>'Bicycle Users'!M15*10</f>
        <v>3747.3948626378105</v>
      </c>
      <c r="O15" s="544">
        <f t="shared" si="27"/>
        <v>442.19465620050488</v>
      </c>
      <c r="P15" s="544">
        <f t="shared" si="28"/>
        <v>769.93868271564656</v>
      </c>
      <c r="Q15" s="544">
        <f t="shared" si="29"/>
        <v>2383.8500254428936</v>
      </c>
      <c r="R15" s="544">
        <f t="shared" si="30"/>
        <v>164.62211211038093</v>
      </c>
      <c r="S15" s="544">
        <f t="shared" si="31"/>
        <v>797.16808328460445</v>
      </c>
      <c r="T15" s="544">
        <f t="shared" si="32"/>
        <v>3912.0169747481914</v>
      </c>
      <c r="U15" s="479">
        <f>U14*(1+'Fayette County Statistics'!$L$5)</f>
        <v>13979.473948853181</v>
      </c>
      <c r="V15" s="479">
        <f>V14*(1+'Fayette County Statistics'!$L$5)</f>
        <v>10448.402047400406</v>
      </c>
      <c r="W15" s="479">
        <f>W14*(1+'Fayette County Statistics'!$L$5)</f>
        <v>5942.5609709064993</v>
      </c>
      <c r="X15" s="544">
        <f>X14*(1+'Fayette County Statistics'!$L$5)</f>
        <v>665.56682874152807</v>
      </c>
      <c r="Y15" s="544">
        <f>Y14*(1+'Fayette County Statistics'!$L$5)</f>
        <v>255.53012174897944</v>
      </c>
      <c r="Z15" s="544">
        <f t="shared" si="0"/>
        <v>921.09695049050754</v>
      </c>
      <c r="AA15" s="544">
        <f>'Bicycle Users'!X15</f>
        <v>237.46473639742359</v>
      </c>
      <c r="AB15" s="479">
        <f>'Bicycle Users'!Y15*10</f>
        <v>0</v>
      </c>
      <c r="AC15" s="479">
        <f>'Bicycle Users'!Z15*10</f>
        <v>845.80047180128417</v>
      </c>
      <c r="AD15" s="479">
        <f>'Bicycle Users'!AA15*10</f>
        <v>4905.5480218967032</v>
      </c>
      <c r="AE15" s="479">
        <f>'Bicycle Users'!AB15*10</f>
        <v>0</v>
      </c>
      <c r="AF15" s="479">
        <f>'Bicycle Users'!AC15*10</f>
        <v>938.83852369942565</v>
      </c>
      <c r="AG15" s="479">
        <f>'Bicycle Users'!AD15*10</f>
        <v>5445.1583043053397</v>
      </c>
      <c r="AH15" s="544">
        <f t="shared" si="33"/>
        <v>921.09695049050754</v>
      </c>
      <c r="AI15" s="544">
        <f t="shared" si="34"/>
        <v>1766.8974222917918</v>
      </c>
      <c r="AJ15" s="544">
        <f t="shared" si="35"/>
        <v>5826.6449723872111</v>
      </c>
      <c r="AK15" s="544">
        <f t="shared" si="36"/>
        <v>237.46473639742359</v>
      </c>
      <c r="AL15" s="544">
        <f t="shared" si="37"/>
        <v>1176.3032600968493</v>
      </c>
      <c r="AM15" s="544">
        <f t="shared" si="38"/>
        <v>5682.6230407027633</v>
      </c>
      <c r="AN15" s="479">
        <f>AN14*(1+'Fayette County Statistics'!$L$5)</f>
        <v>15798.560068766501</v>
      </c>
      <c r="AO15" s="479">
        <f>AO14*(1+'Fayette County Statistics'!$L$6)</f>
        <v>12135.068270357291</v>
      </c>
      <c r="AP15" s="479">
        <f>AP14*(1+'Fayette County Statistics'!$L$6)</f>
        <v>7248.9422649023736</v>
      </c>
      <c r="AQ15" s="544">
        <f>AQ14*(1+'Fayette County Statistics'!$L$6)</f>
        <v>666.90268837101848</v>
      </c>
      <c r="AR15" s="544">
        <f>AR14*(1+'Fayette County Statistics'!$L$6)</f>
        <v>340.70028645041162</v>
      </c>
      <c r="AS15" s="544">
        <f t="shared" si="1"/>
        <v>1007.6029748214301</v>
      </c>
      <c r="AT15" s="544">
        <f t="shared" si="72"/>
        <v>392.9651601803576</v>
      </c>
      <c r="AU15" s="479">
        <f t="shared" si="2"/>
        <v>0</v>
      </c>
      <c r="AV15" s="479">
        <f t="shared" si="3"/>
        <v>250.0608680457151</v>
      </c>
      <c r="AW15" s="479">
        <f t="shared" si="4"/>
        <v>2088.0163592650038</v>
      </c>
      <c r="AX15" s="479">
        <f t="shared" si="4"/>
        <v>0</v>
      </c>
      <c r="AY15" s="479">
        <f t="shared" si="73"/>
        <v>97.523738537828876</v>
      </c>
      <c r="AZ15" s="479">
        <f t="shared" si="74"/>
        <v>814.32638011335143</v>
      </c>
      <c r="BA15" s="544">
        <f t="shared" si="5"/>
        <v>1007.6029748214301</v>
      </c>
      <c r="BB15" s="544">
        <f t="shared" si="6"/>
        <v>1257.6638428671451</v>
      </c>
      <c r="BC15" s="544">
        <f t="shared" si="7"/>
        <v>3095.6193340864338</v>
      </c>
      <c r="BD15" s="544">
        <f t="shared" si="75"/>
        <v>392.9651601803576</v>
      </c>
      <c r="BE15" s="544">
        <f t="shared" si="75"/>
        <v>490.48889871818648</v>
      </c>
      <c r="BF15" s="544">
        <f t="shared" si="75"/>
        <v>1207.291540293709</v>
      </c>
      <c r="BG15" s="479">
        <f t="shared" si="8"/>
        <v>18582.720048087176</v>
      </c>
      <c r="BH15" s="479">
        <f t="shared" si="9"/>
        <v>14377.181153015194</v>
      </c>
      <c r="BI15" s="479">
        <f t="shared" si="10"/>
        <v>8187.2038957821587</v>
      </c>
      <c r="BJ15" s="544">
        <f t="shared" si="11"/>
        <v>993.28469577337432</v>
      </c>
      <c r="BK15" s="544">
        <f t="shared" si="12"/>
        <v>370.00691091763809</v>
      </c>
      <c r="BL15" s="544">
        <f t="shared" si="13"/>
        <v>1363.2916066910125</v>
      </c>
      <c r="BM15" s="544">
        <f t="shared" si="14"/>
        <v>402.08684850780452</v>
      </c>
      <c r="BN15" s="479">
        <f t="shared" si="39"/>
        <v>0</v>
      </c>
      <c r="BO15" s="479">
        <f t="shared" si="15"/>
        <v>1173.5444983164257</v>
      </c>
      <c r="BP15" s="479">
        <f t="shared" si="16"/>
        <v>6847.2033911390918</v>
      </c>
      <c r="BQ15" s="479">
        <f t="shared" si="17"/>
        <v>0</v>
      </c>
      <c r="BR15" s="479">
        <f t="shared" si="18"/>
        <v>1571.3844948736491</v>
      </c>
      <c r="BS15" s="479">
        <f t="shared" si="19"/>
        <v>9192.5531669431512</v>
      </c>
      <c r="BT15" s="544">
        <f t="shared" si="20"/>
        <v>1363.2916066910125</v>
      </c>
      <c r="BU15" s="544">
        <f t="shared" si="21"/>
        <v>2536.8361050074382</v>
      </c>
      <c r="BV15" s="544">
        <f t="shared" si="22"/>
        <v>8210.4949978301047</v>
      </c>
      <c r="BW15" s="544">
        <f t="shared" si="23"/>
        <v>402.08684850780452</v>
      </c>
      <c r="BX15" s="544">
        <f t="shared" si="24"/>
        <v>1973.4713433814536</v>
      </c>
      <c r="BY15" s="544">
        <f t="shared" si="25"/>
        <v>9594.6400154509538</v>
      </c>
      <c r="CB15" s="491"/>
      <c r="CC15" s="491"/>
    </row>
    <row r="16" spans="1:81" x14ac:dyDescent="0.25">
      <c r="A16" s="486">
        <v>2027</v>
      </c>
      <c r="B16" s="479">
        <f>B15*(1+'Fayette County Statistics'!$L$5)</f>
        <v>4654.8041399624099</v>
      </c>
      <c r="C16" s="479">
        <f>C15*(1+'Fayette County Statistics'!$L$5)</f>
        <v>3972.7828692141193</v>
      </c>
      <c r="D16" s="479">
        <f>D15*(1+'Fayette County Statistics'!$L$5)</f>
        <v>2269.7837469926326</v>
      </c>
      <c r="E16" s="544">
        <f>E15*(1+'Fayette County Statistics'!$L$5)</f>
        <v>331.38842706092424</v>
      </c>
      <c r="F16" s="544">
        <f>F15*(1+'Fayette County Statistics'!$L$5)</f>
        <v>115.75897109662428</v>
      </c>
      <c r="G16" s="544">
        <f t="shared" si="26"/>
        <v>447.14739815754854</v>
      </c>
      <c r="H16" s="544">
        <f>'Bicycle Users'!G16</f>
        <v>166.46594000443972</v>
      </c>
      <c r="I16" s="479">
        <f>'Bicycle Users'!H16*10</f>
        <v>0</v>
      </c>
      <c r="J16" s="479">
        <f>'Bicycle Users'!I16*10</f>
        <v>331.41487954000479</v>
      </c>
      <c r="K16" s="479">
        <f>'Bicycle Users'!J16*10</f>
        <v>1963.4026198672484</v>
      </c>
      <c r="L16" s="479">
        <f>'Bicycle Users'!K16*10</f>
        <v>0</v>
      </c>
      <c r="M16" s="479">
        <f>'Bicycle Users'!L16*10</f>
        <v>639.63071751220923</v>
      </c>
      <c r="N16" s="479">
        <f>'Bicycle Users'!M16*10</f>
        <v>3789.367056343789</v>
      </c>
      <c r="O16" s="544">
        <f t="shared" si="27"/>
        <v>447.14739815754854</v>
      </c>
      <c r="P16" s="544">
        <f t="shared" si="28"/>
        <v>778.56227769755333</v>
      </c>
      <c r="Q16" s="544">
        <f t="shared" si="29"/>
        <v>2410.5500180247968</v>
      </c>
      <c r="R16" s="544">
        <f t="shared" si="30"/>
        <v>166.46594000443972</v>
      </c>
      <c r="S16" s="544">
        <f t="shared" si="31"/>
        <v>806.09665751664897</v>
      </c>
      <c r="T16" s="544">
        <f t="shared" si="32"/>
        <v>3955.8329963482288</v>
      </c>
      <c r="U16" s="479">
        <f>U15*(1+'Fayette County Statistics'!$L$5)</f>
        <v>14136.049172440889</v>
      </c>
      <c r="V16" s="479">
        <f>V15*(1+'Fayette County Statistics'!$L$5)</f>
        <v>10565.427973604174</v>
      </c>
      <c r="W16" s="479">
        <f>W15*(1+'Fayette County Statistics'!$L$5)</f>
        <v>6009.1198282789255</v>
      </c>
      <c r="X16" s="544">
        <f>X15*(1+'Fayette County Statistics'!$L$5)</f>
        <v>673.02142076723987</v>
      </c>
      <c r="Y16" s="544">
        <f>Y15*(1+'Fayette County Statistics'!$L$5)</f>
        <v>258.39215261599378</v>
      </c>
      <c r="Z16" s="544">
        <f t="shared" si="0"/>
        <v>931.4135733832336</v>
      </c>
      <c r="AA16" s="544">
        <f>'Bicycle Users'!X16</f>
        <v>240.12442833802575</v>
      </c>
      <c r="AB16" s="479">
        <f>'Bicycle Users'!Y16*10</f>
        <v>0</v>
      </c>
      <c r="AC16" s="479">
        <f>'Bicycle Users'!Z16*10</f>
        <v>855.27374658024939</v>
      </c>
      <c r="AD16" s="479">
        <f>'Bicycle Users'!AA16*10</f>
        <v>4960.4919547770751</v>
      </c>
      <c r="AE16" s="479">
        <f>'Bicycle Users'!AB16*10</f>
        <v>0</v>
      </c>
      <c r="AF16" s="479">
        <f>'Bicycle Users'!AC16*10</f>
        <v>949.35385870407663</v>
      </c>
      <c r="AG16" s="479">
        <f>'Bicycle Users'!AD16*10</f>
        <v>5506.146069802553</v>
      </c>
      <c r="AH16" s="544">
        <f t="shared" si="33"/>
        <v>931.4135733832336</v>
      </c>
      <c r="AI16" s="544">
        <f t="shared" si="34"/>
        <v>1786.6873199634829</v>
      </c>
      <c r="AJ16" s="544">
        <f t="shared" si="35"/>
        <v>5891.9055281603087</v>
      </c>
      <c r="AK16" s="544">
        <f t="shared" si="36"/>
        <v>240.12442833802575</v>
      </c>
      <c r="AL16" s="544">
        <f t="shared" si="37"/>
        <v>1189.4782870421025</v>
      </c>
      <c r="AM16" s="544">
        <f t="shared" si="38"/>
        <v>5746.2704981405786</v>
      </c>
      <c r="AN16" s="479">
        <f>AN15*(1+'Fayette County Statistics'!$L$5)</f>
        <v>15975.509722536117</v>
      </c>
      <c r="AO16" s="479">
        <f>AO15*(1+'Fayette County Statistics'!$L$6)</f>
        <v>12277.250750618401</v>
      </c>
      <c r="AP16" s="479">
        <f>AP15*(1+'Fayette County Statistics'!$L$6)</f>
        <v>7333.8756635064065</v>
      </c>
      <c r="AQ16" s="544">
        <f>AQ15*(1+'Fayette County Statistics'!$L$6)</f>
        <v>674.71656104258943</v>
      </c>
      <c r="AR16" s="544">
        <f>AR15*(1+'Fayette County Statistics'!$L$6)</f>
        <v>344.69215618480115</v>
      </c>
      <c r="AS16" s="544">
        <f t="shared" si="1"/>
        <v>1019.4087172273905</v>
      </c>
      <c r="AT16" s="544">
        <f t="shared" si="72"/>
        <v>397.56939971868218</v>
      </c>
      <c r="AU16" s="479">
        <f t="shared" si="2"/>
        <v>0</v>
      </c>
      <c r="AV16" s="479">
        <f t="shared" si="3"/>
        <v>252.99074644795178</v>
      </c>
      <c r="AW16" s="479">
        <f t="shared" si="4"/>
        <v>2112.4809389584916</v>
      </c>
      <c r="AX16" s="479">
        <f t="shared" si="4"/>
        <v>0</v>
      </c>
      <c r="AY16" s="479">
        <f t="shared" si="73"/>
        <v>98.666391114701185</v>
      </c>
      <c r="AZ16" s="479">
        <f t="shared" si="74"/>
        <v>823.86756619381163</v>
      </c>
      <c r="BA16" s="544">
        <f t="shared" si="5"/>
        <v>1019.4087172273905</v>
      </c>
      <c r="BB16" s="544">
        <f t="shared" si="6"/>
        <v>1272.3994636753423</v>
      </c>
      <c r="BC16" s="544">
        <f t="shared" si="7"/>
        <v>3131.8896561858824</v>
      </c>
      <c r="BD16" s="544">
        <f t="shared" si="75"/>
        <v>397.56939971868218</v>
      </c>
      <c r="BE16" s="544">
        <f t="shared" si="75"/>
        <v>496.23579083338336</v>
      </c>
      <c r="BF16" s="544">
        <f t="shared" si="75"/>
        <v>1221.4369659124939</v>
      </c>
      <c r="BG16" s="479">
        <f t="shared" si="8"/>
        <v>18790.853312403298</v>
      </c>
      <c r="BH16" s="479">
        <f t="shared" si="9"/>
        <v>14538.210842818293</v>
      </c>
      <c r="BI16" s="479">
        <f t="shared" si="10"/>
        <v>8278.9035752715572</v>
      </c>
      <c r="BJ16" s="544">
        <f t="shared" si="11"/>
        <v>1004.4098478281642</v>
      </c>
      <c r="BK16" s="544">
        <f t="shared" si="12"/>
        <v>374.15112371261807</v>
      </c>
      <c r="BL16" s="544">
        <f t="shared" si="13"/>
        <v>1378.5609715407822</v>
      </c>
      <c r="BM16" s="544">
        <f t="shared" si="14"/>
        <v>406.59036834246547</v>
      </c>
      <c r="BN16" s="479">
        <f t="shared" si="39"/>
        <v>0</v>
      </c>
      <c r="BO16" s="479">
        <f t="shared" si="15"/>
        <v>1186.6886261202542</v>
      </c>
      <c r="BP16" s="479">
        <f t="shared" si="16"/>
        <v>6923.8945746443233</v>
      </c>
      <c r="BQ16" s="479">
        <f t="shared" si="17"/>
        <v>0</v>
      </c>
      <c r="BR16" s="479">
        <f t="shared" si="18"/>
        <v>1588.9845762162859</v>
      </c>
      <c r="BS16" s="479">
        <f t="shared" si="19"/>
        <v>9295.513126146343</v>
      </c>
      <c r="BT16" s="544">
        <f t="shared" si="20"/>
        <v>1378.5609715407822</v>
      </c>
      <c r="BU16" s="544">
        <f t="shared" si="21"/>
        <v>2565.2495976610362</v>
      </c>
      <c r="BV16" s="544">
        <f t="shared" si="22"/>
        <v>8302.455546185105</v>
      </c>
      <c r="BW16" s="544">
        <f t="shared" si="23"/>
        <v>406.59036834246547</v>
      </c>
      <c r="BX16" s="544">
        <f t="shared" si="24"/>
        <v>1995.5749445587514</v>
      </c>
      <c r="BY16" s="544">
        <f t="shared" si="25"/>
        <v>9702.103494488807</v>
      </c>
      <c r="CB16" s="491"/>
      <c r="CC16" s="491"/>
    </row>
    <row r="17" spans="1:81" x14ac:dyDescent="0.25">
      <c r="A17" s="486">
        <v>2028</v>
      </c>
      <c r="B17" s="479">
        <f>B16*(1+'Fayette County Statistics'!$L$5)</f>
        <v>4706.9396496130712</v>
      </c>
      <c r="C17" s="479">
        <f>C16*(1+'Fayette County Statistics'!$L$5)</f>
        <v>4017.2794910675934</v>
      </c>
      <c r="D17" s="479">
        <f>D16*(1+'Fayette County Statistics'!$L$5)</f>
        <v>2295.2061555168298</v>
      </c>
      <c r="E17" s="544">
        <f>E16*(1+'Fayette County Statistics'!$L$5)</f>
        <v>335.10009870545701</v>
      </c>
      <c r="F17" s="544">
        <f>F16*(1+'Fayette County Statistics'!$L$5)</f>
        <v>117.05551393135833</v>
      </c>
      <c r="G17" s="544">
        <f t="shared" si="26"/>
        <v>452.15561263681536</v>
      </c>
      <c r="H17" s="544">
        <f>'Bicycle Users'!G17</f>
        <v>168.33041944560432</v>
      </c>
      <c r="I17" s="479">
        <f>'Bicycle Users'!H17*10</f>
        <v>0</v>
      </c>
      <c r="J17" s="479">
        <f>'Bicycle Users'!I17*10</f>
        <v>335.12684746198272</v>
      </c>
      <c r="K17" s="479">
        <f>'Bicycle Users'!J17*10</f>
        <v>1985.393447656847</v>
      </c>
      <c r="L17" s="479">
        <f>'Bicycle Users'!K17*10</f>
        <v>0</v>
      </c>
      <c r="M17" s="479">
        <f>'Bicycle Users'!L17*10</f>
        <v>646.79481560162685</v>
      </c>
      <c r="N17" s="479">
        <f>'Bicycle Users'!M17*10</f>
        <v>3831.8093539777146</v>
      </c>
      <c r="O17" s="544">
        <f t="shared" si="27"/>
        <v>452.15561263681536</v>
      </c>
      <c r="P17" s="544">
        <f t="shared" si="28"/>
        <v>787.28246009879808</v>
      </c>
      <c r="Q17" s="544">
        <f t="shared" si="29"/>
        <v>2437.5490602936625</v>
      </c>
      <c r="R17" s="544">
        <f t="shared" si="30"/>
        <v>168.33041944560432</v>
      </c>
      <c r="S17" s="544">
        <f t="shared" si="31"/>
        <v>815.12523504723117</v>
      </c>
      <c r="T17" s="544">
        <f t="shared" si="32"/>
        <v>4000.1397734233187</v>
      </c>
      <c r="U17" s="479">
        <f>U16*(1+'Fayette County Statistics'!$L$5)</f>
        <v>14294.378095826689</v>
      </c>
      <c r="V17" s="479">
        <f>V16*(1+'Fayette County Statistics'!$L$5)</f>
        <v>10683.764633003479</v>
      </c>
      <c r="W17" s="479">
        <f>W16*(1+'Fayette County Statistics'!$L$5)</f>
        <v>6076.4241692090991</v>
      </c>
      <c r="X17" s="544">
        <f>X16*(1+'Fayette County Statistics'!$L$5)</f>
        <v>680.55950695141939</v>
      </c>
      <c r="Y17" s="544">
        <f>Y16*(1+'Fayette County Statistics'!$L$5)</f>
        <v>261.28623927599125</v>
      </c>
      <c r="Z17" s="544">
        <f t="shared" si="0"/>
        <v>941.8457462274107</v>
      </c>
      <c r="AA17" s="544">
        <f>'Bicycle Users'!X17</f>
        <v>242.81390980159549</v>
      </c>
      <c r="AB17" s="479">
        <f>'Bicycle Users'!Y17*10</f>
        <v>0</v>
      </c>
      <c r="AC17" s="479">
        <f>'Bicycle Users'!Z17*10</f>
        <v>864.85312550319406</v>
      </c>
      <c r="AD17" s="479">
        <f>'Bicycle Users'!AA17*10</f>
        <v>5016.0512798107593</v>
      </c>
      <c r="AE17" s="479">
        <f>'Bicycle Users'!AB17*10</f>
        <v>0</v>
      </c>
      <c r="AF17" s="479">
        <f>'Bicycle Users'!AC17*10</f>
        <v>959.98696930854544</v>
      </c>
      <c r="AG17" s="479">
        <f>'Bicycle Users'!AD17*10</f>
        <v>5567.8169205899412</v>
      </c>
      <c r="AH17" s="544">
        <f t="shared" si="33"/>
        <v>941.8457462274107</v>
      </c>
      <c r="AI17" s="544">
        <f t="shared" si="34"/>
        <v>1806.6988717306049</v>
      </c>
      <c r="AJ17" s="544">
        <f t="shared" si="35"/>
        <v>5957.8970260381702</v>
      </c>
      <c r="AK17" s="544">
        <f t="shared" si="36"/>
        <v>242.81390980159549</v>
      </c>
      <c r="AL17" s="544">
        <f t="shared" si="37"/>
        <v>1202.8008791101408</v>
      </c>
      <c r="AM17" s="544">
        <f t="shared" si="38"/>
        <v>5810.6308303915366</v>
      </c>
      <c r="AN17" s="479">
        <f>AN16*(1+'Fayette County Statistics'!$L$5)</f>
        <v>16154.441277177262</v>
      </c>
      <c r="AO17" s="479">
        <f>AO16*(1+'Fayette County Statistics'!$L$6)</f>
        <v>12421.099134790622</v>
      </c>
      <c r="AP17" s="479">
        <f>AP16*(1+'Fayette County Statistics'!$L$6)</f>
        <v>7419.8041979433392</v>
      </c>
      <c r="AQ17" s="544">
        <f>AQ16*(1+'Fayette County Statistics'!$L$6)</f>
        <v>682.62198621078733</v>
      </c>
      <c r="AR17" s="544">
        <f>AR16*(1+'Fayette County Statistics'!$L$6)</f>
        <v>348.730797303337</v>
      </c>
      <c r="AS17" s="544">
        <f t="shared" si="1"/>
        <v>1031.3527835141244</v>
      </c>
      <c r="AT17" s="544">
        <f t="shared" si="72"/>
        <v>402.22758557050844</v>
      </c>
      <c r="AU17" s="479">
        <f t="shared" si="2"/>
        <v>0</v>
      </c>
      <c r="AV17" s="479">
        <f t="shared" si="3"/>
        <v>255.95495324198737</v>
      </c>
      <c r="AW17" s="479">
        <f t="shared" si="4"/>
        <v>2137.2321618369924</v>
      </c>
      <c r="AX17" s="479">
        <f t="shared" si="4"/>
        <v>0</v>
      </c>
      <c r="AY17" s="479">
        <f t="shared" si="73"/>
        <v>99.82243176437504</v>
      </c>
      <c r="AZ17" s="479">
        <f t="shared" si="74"/>
        <v>833.52054311642678</v>
      </c>
      <c r="BA17" s="544">
        <f t="shared" si="5"/>
        <v>1031.3527835141244</v>
      </c>
      <c r="BB17" s="544">
        <f t="shared" si="6"/>
        <v>1287.3077367561118</v>
      </c>
      <c r="BC17" s="544">
        <f t="shared" si="7"/>
        <v>3168.5849453511169</v>
      </c>
      <c r="BD17" s="544">
        <f t="shared" si="75"/>
        <v>402.22758557050844</v>
      </c>
      <c r="BE17" s="544">
        <f t="shared" si="75"/>
        <v>502.05001733488348</v>
      </c>
      <c r="BF17" s="544">
        <f t="shared" si="75"/>
        <v>1235.7481286869352</v>
      </c>
      <c r="BG17" s="479">
        <f t="shared" si="8"/>
        <v>19001.317745439759</v>
      </c>
      <c r="BH17" s="479">
        <f t="shared" si="9"/>
        <v>14701.044124071072</v>
      </c>
      <c r="BI17" s="479">
        <f t="shared" si="10"/>
        <v>8371.6303247259293</v>
      </c>
      <c r="BJ17" s="544">
        <f t="shared" si="11"/>
        <v>1015.6596056568765</v>
      </c>
      <c r="BK17" s="544">
        <f t="shared" si="12"/>
        <v>378.3417532073496</v>
      </c>
      <c r="BL17" s="544">
        <f t="shared" si="13"/>
        <v>1394.0013588642259</v>
      </c>
      <c r="BM17" s="544">
        <f t="shared" si="14"/>
        <v>411.14432924719983</v>
      </c>
      <c r="BN17" s="479">
        <f t="shared" si="39"/>
        <v>0</v>
      </c>
      <c r="BO17" s="479">
        <f t="shared" si="15"/>
        <v>1199.9799729651768</v>
      </c>
      <c r="BP17" s="479">
        <f t="shared" si="16"/>
        <v>7001.4447274676058</v>
      </c>
      <c r="BQ17" s="479">
        <f t="shared" si="17"/>
        <v>0</v>
      </c>
      <c r="BR17" s="479">
        <f t="shared" si="18"/>
        <v>1606.7817849101723</v>
      </c>
      <c r="BS17" s="479">
        <f t="shared" si="19"/>
        <v>9399.6262745676559</v>
      </c>
      <c r="BT17" s="544">
        <f t="shared" si="20"/>
        <v>1394.0013588642259</v>
      </c>
      <c r="BU17" s="544">
        <f t="shared" si="21"/>
        <v>2593.9813318294027</v>
      </c>
      <c r="BV17" s="544">
        <f t="shared" si="22"/>
        <v>8395.4460863318327</v>
      </c>
      <c r="BW17" s="544">
        <f t="shared" si="23"/>
        <v>411.14432924719983</v>
      </c>
      <c r="BX17" s="544">
        <f t="shared" si="24"/>
        <v>2017.926114157372</v>
      </c>
      <c r="BY17" s="544">
        <f t="shared" si="25"/>
        <v>9810.7706038148553</v>
      </c>
      <c r="CB17" s="491"/>
      <c r="CC17" s="491"/>
    </row>
    <row r="18" spans="1:81" x14ac:dyDescent="0.25">
      <c r="A18" s="486">
        <v>2029</v>
      </c>
      <c r="B18" s="479">
        <f>B17*(1+'Fayette County Statistics'!$L$5)</f>
        <v>4759.659096049214</v>
      </c>
      <c r="C18" s="479">
        <f>C17*(1+'Fayette County Statistics'!$L$5)</f>
        <v>4062.2744913680031</v>
      </c>
      <c r="D18" s="479">
        <f>D17*(1+'Fayette County Statistics'!$L$5)</f>
        <v>2320.91330431905</v>
      </c>
      <c r="E18" s="544">
        <f>E17*(1+'Fayette County Statistics'!$L$5)</f>
        <v>338.85334243058116</v>
      </c>
      <c r="F18" s="544">
        <f>F17*(1+'Fayette County Statistics'!$L$5)</f>
        <v>118.36657852027157</v>
      </c>
      <c r="G18" s="544">
        <f t="shared" si="26"/>
        <v>457.21992095085272</v>
      </c>
      <c r="H18" s="544">
        <f>'Bicycle Users'!G18</f>
        <v>170.21578173875915</v>
      </c>
      <c r="I18" s="479">
        <f>'Bicycle Users'!H18*10</f>
        <v>0</v>
      </c>
      <c r="J18" s="479">
        <f>'Bicycle Users'!I18*10</f>
        <v>338.88039078296799</v>
      </c>
      <c r="K18" s="479">
        <f>'Bicycle Users'!J18*10</f>
        <v>2007.6305807645581</v>
      </c>
      <c r="L18" s="479">
        <f>'Bicycle Users'!K18*10</f>
        <v>0</v>
      </c>
      <c r="M18" s="479">
        <f>'Bicycle Users'!L18*10</f>
        <v>654.03915421112833</v>
      </c>
      <c r="N18" s="479">
        <f>'Bicycle Users'!M18*10</f>
        <v>3874.7270208755981</v>
      </c>
      <c r="O18" s="544">
        <f t="shared" si="27"/>
        <v>457.21992095085272</v>
      </c>
      <c r="P18" s="544">
        <f t="shared" si="28"/>
        <v>796.10031173382072</v>
      </c>
      <c r="Q18" s="544">
        <f t="shared" si="29"/>
        <v>2464.8505017154107</v>
      </c>
      <c r="R18" s="544">
        <f t="shared" si="30"/>
        <v>170.21578173875915</v>
      </c>
      <c r="S18" s="544">
        <f t="shared" si="31"/>
        <v>824.25493594988745</v>
      </c>
      <c r="T18" s="544">
        <f t="shared" si="32"/>
        <v>4044.9428026143573</v>
      </c>
      <c r="U18" s="479">
        <f>U17*(1+'Fayette County Statistics'!$L$5)</f>
        <v>14454.480361090033</v>
      </c>
      <c r="V18" s="479">
        <f>V17*(1+'Fayette County Statistics'!$L$5)</f>
        <v>10803.426706289734</v>
      </c>
      <c r="W18" s="479">
        <f>W17*(1+'Fayette County Statistics'!$L$5)</f>
        <v>6144.4823433856545</v>
      </c>
      <c r="X18" s="544">
        <f>X17*(1+'Fayette County Statistics'!$L$5)</f>
        <v>688.1820224591936</v>
      </c>
      <c r="Y18" s="544">
        <f>Y17*(1+'Fayette County Statistics'!$L$5)</f>
        <v>264.21274076558313</v>
      </c>
      <c r="Z18" s="544">
        <f t="shared" si="0"/>
        <v>952.39476322477674</v>
      </c>
      <c r="AA18" s="544">
        <f>'Bicycle Users'!X18</f>
        <v>245.53351444169061</v>
      </c>
      <c r="AB18" s="479">
        <f>'Bicycle Users'!Y18*10</f>
        <v>0</v>
      </c>
      <c r="AC18" s="479">
        <f>'Bicycle Users'!Z18*10</f>
        <v>874.53979697535658</v>
      </c>
      <c r="AD18" s="479">
        <f>'Bicycle Users'!AA18*10</f>
        <v>5072.2328896150539</v>
      </c>
      <c r="AE18" s="479">
        <f>'Bicycle Users'!AB18*10</f>
        <v>0</v>
      </c>
      <c r="AF18" s="479">
        <f>'Bicycle Users'!AC18*10</f>
        <v>970.73917464264582</v>
      </c>
      <c r="AG18" s="479">
        <f>'Bicycle Users'!AD18*10</f>
        <v>5630.1785074727095</v>
      </c>
      <c r="AH18" s="544">
        <f t="shared" si="33"/>
        <v>952.39476322477674</v>
      </c>
      <c r="AI18" s="544">
        <f t="shared" si="34"/>
        <v>1826.9345602001333</v>
      </c>
      <c r="AJ18" s="544">
        <f t="shared" si="35"/>
        <v>6024.6276528398303</v>
      </c>
      <c r="AK18" s="544">
        <f t="shared" si="36"/>
        <v>245.53351444169061</v>
      </c>
      <c r="AL18" s="544">
        <f t="shared" si="37"/>
        <v>1216.2726890843364</v>
      </c>
      <c r="AM18" s="544">
        <f t="shared" si="38"/>
        <v>5875.7120219143999</v>
      </c>
      <c r="AN18" s="479">
        <f>AN17*(1+'Fayette County Statistics'!$L$5)</f>
        <v>16335.376930704913</v>
      </c>
      <c r="AO18" s="479">
        <f>AO17*(1+'Fayette County Statistics'!$L$6)</f>
        <v>12566.63294170522</v>
      </c>
      <c r="AP18" s="479">
        <f>AP17*(1+'Fayette County Statistics'!$L$6)</f>
        <v>7506.7395278823042</v>
      </c>
      <c r="AQ18" s="544">
        <f>AQ17*(1+'Fayette County Statistics'!$L$6)</f>
        <v>690.62003656517209</v>
      </c>
      <c r="AR18" s="544">
        <f>AR17*(1+'Fayette County Statistics'!$L$6)</f>
        <v>352.81675781046835</v>
      </c>
      <c r="AS18" s="544">
        <f t="shared" si="1"/>
        <v>1043.4367943756404</v>
      </c>
      <c r="AT18" s="544">
        <f t="shared" si="72"/>
        <v>406.94034980649963</v>
      </c>
      <c r="AU18" s="479">
        <f t="shared" si="2"/>
        <v>0</v>
      </c>
      <c r="AV18" s="479">
        <f t="shared" si="3"/>
        <v>258.95389064194887</v>
      </c>
      <c r="AW18" s="479">
        <f t="shared" si="4"/>
        <v>2162.2733864015117</v>
      </c>
      <c r="AX18" s="479">
        <f t="shared" si="4"/>
        <v>0</v>
      </c>
      <c r="AY18" s="479">
        <f t="shared" si="73"/>
        <v>100.99201735036007</v>
      </c>
      <c r="AZ18" s="479">
        <f t="shared" si="74"/>
        <v>843.28662069658958</v>
      </c>
      <c r="BA18" s="544">
        <f t="shared" si="5"/>
        <v>1043.4367943756404</v>
      </c>
      <c r="BB18" s="544">
        <f t="shared" si="6"/>
        <v>1302.3906850175892</v>
      </c>
      <c r="BC18" s="544">
        <f t="shared" si="7"/>
        <v>3205.7101807771523</v>
      </c>
      <c r="BD18" s="544">
        <f t="shared" si="75"/>
        <v>406.94034980649963</v>
      </c>
      <c r="BE18" s="544">
        <f t="shared" si="75"/>
        <v>507.9323671568597</v>
      </c>
      <c r="BF18" s="544">
        <f t="shared" si="75"/>
        <v>1250.2269705030892</v>
      </c>
      <c r="BG18" s="479">
        <f t="shared" si="8"/>
        <v>19214.139457139245</v>
      </c>
      <c r="BH18" s="479">
        <f t="shared" si="9"/>
        <v>14865.701197657738</v>
      </c>
      <c r="BI18" s="479">
        <f t="shared" si="10"/>
        <v>8465.395647704705</v>
      </c>
      <c r="BJ18" s="544">
        <f t="shared" si="11"/>
        <v>1027.0353648897749</v>
      </c>
      <c r="BK18" s="544">
        <f t="shared" si="12"/>
        <v>382.57931928585469</v>
      </c>
      <c r="BL18" s="544">
        <f t="shared" si="13"/>
        <v>1409.6146841756295</v>
      </c>
      <c r="BM18" s="544">
        <f t="shared" si="14"/>
        <v>415.74929618044973</v>
      </c>
      <c r="BN18" s="479">
        <f t="shared" si="39"/>
        <v>0</v>
      </c>
      <c r="BO18" s="479">
        <f t="shared" si="15"/>
        <v>1213.4201877583246</v>
      </c>
      <c r="BP18" s="479">
        <f t="shared" si="16"/>
        <v>7079.8634703796124</v>
      </c>
      <c r="BQ18" s="479">
        <f t="shared" si="17"/>
        <v>0</v>
      </c>
      <c r="BR18" s="479">
        <f t="shared" si="18"/>
        <v>1624.7783288537742</v>
      </c>
      <c r="BS18" s="479">
        <f t="shared" si="19"/>
        <v>9504.9055283483067</v>
      </c>
      <c r="BT18" s="544">
        <f t="shared" si="20"/>
        <v>1409.6146841756295</v>
      </c>
      <c r="BU18" s="544">
        <f t="shared" si="21"/>
        <v>2623.034871933954</v>
      </c>
      <c r="BV18" s="544">
        <f t="shared" si="22"/>
        <v>8489.4781545552414</v>
      </c>
      <c r="BW18" s="544">
        <f t="shared" si="23"/>
        <v>415.74929618044973</v>
      </c>
      <c r="BX18" s="544">
        <f t="shared" si="24"/>
        <v>2040.527625034224</v>
      </c>
      <c r="BY18" s="544">
        <f t="shared" si="25"/>
        <v>9920.6548245287577</v>
      </c>
      <c r="CB18" s="491"/>
      <c r="CC18" s="491"/>
    </row>
    <row r="19" spans="1:81" x14ac:dyDescent="0.25">
      <c r="A19" s="486">
        <v>2030</v>
      </c>
      <c r="B19" s="479">
        <f>B18*(1+'Fayette County Statistics'!$L$5)</f>
        <v>4812.9690195765088</v>
      </c>
      <c r="C19" s="479">
        <f>C18*(1+'Fayette County Statistics'!$L$5)</f>
        <v>4107.7734521363209</v>
      </c>
      <c r="D19" s="479">
        <f>D18*(1+'Fayette County Statistics'!$L$5)</f>
        <v>2346.9083825945991</v>
      </c>
      <c r="E19" s="544">
        <f>E18*(1+'Fayette County Statistics'!$L$5)</f>
        <v>342.64862385881133</v>
      </c>
      <c r="F19" s="544">
        <f>F18*(1+'Fayette County Statistics'!$L$5)</f>
        <v>119.69232751232458</v>
      </c>
      <c r="G19" s="544">
        <f t="shared" si="26"/>
        <v>462.34095137113593</v>
      </c>
      <c r="H19" s="544">
        <f>'Bicycle Users'!G19</f>
        <v>172.12226077948793</v>
      </c>
      <c r="I19" s="479">
        <f>'Bicycle Users'!H19*10</f>
        <v>0</v>
      </c>
      <c r="J19" s="479">
        <f>'Bicycle Users'!I19*10</f>
        <v>342.67597516264232</v>
      </c>
      <c r="K19" s="479">
        <f>'Bicycle Users'!J19*10</f>
        <v>2030.1167779000752</v>
      </c>
      <c r="L19" s="479">
        <f>'Bicycle Users'!K19*10</f>
        <v>0</v>
      </c>
      <c r="M19" s="479">
        <f>'Bicycle Users'!L19*10</f>
        <v>661.36463206389976</v>
      </c>
      <c r="N19" s="479">
        <f>'Bicycle Users'!M19*10</f>
        <v>3918.1253813471453</v>
      </c>
      <c r="O19" s="544">
        <f t="shared" si="27"/>
        <v>462.34095137113593</v>
      </c>
      <c r="P19" s="544">
        <f t="shared" si="28"/>
        <v>805.01692653377825</v>
      </c>
      <c r="Q19" s="544">
        <f t="shared" si="29"/>
        <v>2492.4577292712111</v>
      </c>
      <c r="R19" s="544">
        <f t="shared" si="30"/>
        <v>172.12226077948793</v>
      </c>
      <c r="S19" s="544">
        <f t="shared" si="31"/>
        <v>833.48689284338775</v>
      </c>
      <c r="T19" s="544">
        <f t="shared" si="32"/>
        <v>4090.2476421266333</v>
      </c>
      <c r="U19" s="479">
        <f>U18*(1+'Fayette County Statistics'!$L$5)</f>
        <v>14616.375830308849</v>
      </c>
      <c r="V19" s="479">
        <f>V18*(1+'Fayette County Statistics'!$L$5)</f>
        <v>10924.429038583468</v>
      </c>
      <c r="W19" s="479">
        <f>W18*(1+'Fayette County Statistics'!$L$5)</f>
        <v>6213.3027940167922</v>
      </c>
      <c r="X19" s="544">
        <f>X18*(1+'Fayette County Statistics'!$L$5)</f>
        <v>695.88991292988101</v>
      </c>
      <c r="Y19" s="544">
        <f>Y18*(1+'Fayette County Statistics'!$L$5)</f>
        <v>267.17202014272209</v>
      </c>
      <c r="Z19" s="544">
        <f t="shared" si="0"/>
        <v>963.0619330726031</v>
      </c>
      <c r="AA19" s="544">
        <f>'Bicycle Users'!X19</f>
        <v>248.28357964891089</v>
      </c>
      <c r="AB19" s="479">
        <f>'Bicycle Users'!Y19*10</f>
        <v>0</v>
      </c>
      <c r="AC19" s="479">
        <f>'Bicycle Users'!Z19*10</f>
        <v>884.33496271254739</v>
      </c>
      <c r="AD19" s="479">
        <f>'Bicycle Users'!AA19*10</f>
        <v>5129.043754007097</v>
      </c>
      <c r="AE19" s="479">
        <f>'Bicycle Users'!AB19*10</f>
        <v>0</v>
      </c>
      <c r="AF19" s="479">
        <f>'Bicycle Users'!AC19*10</f>
        <v>981.61180861092726</v>
      </c>
      <c r="AG19" s="479">
        <f>'Bicycle Users'!AD19*10</f>
        <v>5693.2385669478772</v>
      </c>
      <c r="AH19" s="544">
        <f t="shared" si="33"/>
        <v>963.0619330726031</v>
      </c>
      <c r="AI19" s="544">
        <f t="shared" si="34"/>
        <v>1847.3968957851505</v>
      </c>
      <c r="AJ19" s="544">
        <f t="shared" si="35"/>
        <v>6092.1056870797001</v>
      </c>
      <c r="AK19" s="544">
        <f t="shared" si="36"/>
        <v>248.28357964891089</v>
      </c>
      <c r="AL19" s="544">
        <f t="shared" si="37"/>
        <v>1229.8953882598382</v>
      </c>
      <c r="AM19" s="544">
        <f t="shared" si="38"/>
        <v>5941.5221465967879</v>
      </c>
      <c r="AN19" s="479">
        <f>AN18*(1+'Fayette County Statistics'!$L$5)</f>
        <v>16518.339129759937</v>
      </c>
      <c r="AO19" s="479">
        <f>AO18*(1+'Fayette County Statistics'!$L$6)</f>
        <v>12713.871918888988</v>
      </c>
      <c r="AP19" s="479">
        <f>AP18*(1+'Fayette County Statistics'!$L$6)</f>
        <v>7594.6934496048225</v>
      </c>
      <c r="AQ19" s="544">
        <f>AQ18*(1+'Fayette County Statistics'!$L$6)</f>
        <v>698.71179736364377</v>
      </c>
      <c r="AR19" s="544">
        <f>AR18*(1+'Fayette County Statistics'!$L$6)</f>
        <v>356.95059213142667</v>
      </c>
      <c r="AS19" s="544">
        <f t="shared" si="1"/>
        <v>1055.6623894950703</v>
      </c>
      <c r="AT19" s="544">
        <f t="shared" si="72"/>
        <v>411.70833190307735</v>
      </c>
      <c r="AU19" s="479">
        <f t="shared" si="2"/>
        <v>0</v>
      </c>
      <c r="AV19" s="479">
        <f t="shared" si="3"/>
        <v>261.9879655745699</v>
      </c>
      <c r="AW19" s="479">
        <f t="shared" si="4"/>
        <v>2187.6080105034748</v>
      </c>
      <c r="AX19" s="479">
        <f t="shared" si="4"/>
        <v>0</v>
      </c>
      <c r="AY19" s="479">
        <f t="shared" si="73"/>
        <v>102.17530657408224</v>
      </c>
      <c r="AZ19" s="479">
        <f t="shared" si="74"/>
        <v>853.16712409635488</v>
      </c>
      <c r="BA19" s="544">
        <f t="shared" si="5"/>
        <v>1055.6623894950703</v>
      </c>
      <c r="BB19" s="544">
        <f t="shared" si="6"/>
        <v>1317.6503550696402</v>
      </c>
      <c r="BC19" s="544">
        <f t="shared" si="7"/>
        <v>3243.2703999985451</v>
      </c>
      <c r="BD19" s="544">
        <f t="shared" si="75"/>
        <v>411.70833190307735</v>
      </c>
      <c r="BE19" s="544">
        <f t="shared" si="75"/>
        <v>513.88363847715959</v>
      </c>
      <c r="BF19" s="544">
        <f t="shared" si="75"/>
        <v>1264.8754559994322</v>
      </c>
      <c r="BG19" s="479">
        <f t="shared" si="8"/>
        <v>19429.344849885358</v>
      </c>
      <c r="BH19" s="479">
        <f t="shared" si="9"/>
        <v>15032.202490719788</v>
      </c>
      <c r="BI19" s="479">
        <f t="shared" si="10"/>
        <v>8560.2111766113921</v>
      </c>
      <c r="BJ19" s="544">
        <f t="shared" si="11"/>
        <v>1038.5385367886925</v>
      </c>
      <c r="BK19" s="544">
        <f t="shared" si="12"/>
        <v>386.86434765504669</v>
      </c>
      <c r="BL19" s="544">
        <f t="shared" si="13"/>
        <v>1425.4028844437389</v>
      </c>
      <c r="BM19" s="544">
        <f t="shared" si="14"/>
        <v>420.40584042839885</v>
      </c>
      <c r="BN19" s="479">
        <f t="shared" si="39"/>
        <v>0</v>
      </c>
      <c r="BO19" s="479">
        <f t="shared" si="15"/>
        <v>1227.0109378751897</v>
      </c>
      <c r="BP19" s="479">
        <f t="shared" si="16"/>
        <v>7159.1605319071723</v>
      </c>
      <c r="BQ19" s="479">
        <f t="shared" si="17"/>
        <v>0</v>
      </c>
      <c r="BR19" s="479">
        <f t="shared" si="18"/>
        <v>1642.976440674827</v>
      </c>
      <c r="BS19" s="479">
        <f t="shared" si="19"/>
        <v>9611.3639482950221</v>
      </c>
      <c r="BT19" s="544">
        <f t="shared" si="20"/>
        <v>1425.4028844437389</v>
      </c>
      <c r="BU19" s="544">
        <f t="shared" si="21"/>
        <v>2652.4138223189289</v>
      </c>
      <c r="BV19" s="544">
        <f t="shared" si="22"/>
        <v>8584.5634163509112</v>
      </c>
      <c r="BW19" s="544">
        <f t="shared" si="23"/>
        <v>420.40584042839885</v>
      </c>
      <c r="BX19" s="544">
        <f t="shared" si="24"/>
        <v>2063.382281103226</v>
      </c>
      <c r="BY19" s="544">
        <f t="shared" si="25"/>
        <v>10031.769788723421</v>
      </c>
      <c r="CB19" s="491"/>
      <c r="CC19" s="491"/>
    </row>
    <row r="20" spans="1:81" x14ac:dyDescent="0.25">
      <c r="A20" s="486">
        <v>2031</v>
      </c>
      <c r="B20" s="479">
        <f>B19*(1+'Fayette County Statistics'!$L$5)</f>
        <v>4866.8760337544436</v>
      </c>
      <c r="C20" s="479">
        <f>C19*(1+'Fayette County Statistics'!$L$5)</f>
        <v>4153.7820179141954</v>
      </c>
      <c r="D20" s="479">
        <f>D19*(1+'Fayette County Statistics'!$L$5)</f>
        <v>2373.1946152589376</v>
      </c>
      <c r="E20" s="544">
        <f>E19*(1+'Fayette County Statistics'!$L$5)</f>
        <v>346.48641382780477</v>
      </c>
      <c r="F20" s="544">
        <f>F19*(1+'Fayette County Statistics'!$L$5)</f>
        <v>121.03292537820585</v>
      </c>
      <c r="G20" s="544">
        <f t="shared" si="26"/>
        <v>467.51933920601061</v>
      </c>
      <c r="H20" s="544">
        <f>'Bicycle Users'!G20</f>
        <v>174.05009308309053</v>
      </c>
      <c r="I20" s="479">
        <f>'Bicycle Users'!H20*10</f>
        <v>0</v>
      </c>
      <c r="J20" s="479">
        <f>'Bicycle Users'!I20*10</f>
        <v>346.51407147624707</v>
      </c>
      <c r="K20" s="479">
        <f>'Bicycle Users'!J20*10</f>
        <v>2052.8548286716446</v>
      </c>
      <c r="L20" s="479">
        <f>'Bicycle Users'!K20*10</f>
        <v>0</v>
      </c>
      <c r="M20" s="479">
        <f>'Bicycle Users'!L20*10</f>
        <v>668.77215794915685</v>
      </c>
      <c r="N20" s="479">
        <f>'Bicycle Users'!M20*10</f>
        <v>3962.0098193362746</v>
      </c>
      <c r="O20" s="544">
        <f t="shared" si="27"/>
        <v>467.51933920601061</v>
      </c>
      <c r="P20" s="544">
        <f t="shared" si="28"/>
        <v>814.03341068225768</v>
      </c>
      <c r="Q20" s="544">
        <f t="shared" si="29"/>
        <v>2520.3741678776551</v>
      </c>
      <c r="R20" s="544">
        <f t="shared" si="30"/>
        <v>174.05009308309053</v>
      </c>
      <c r="S20" s="544">
        <f t="shared" si="31"/>
        <v>842.82225103224732</v>
      </c>
      <c r="T20" s="544">
        <f t="shared" si="32"/>
        <v>4136.059912419365</v>
      </c>
      <c r="U20" s="479">
        <f>U19*(1+'Fayette County Statistics'!$L$5)</f>
        <v>14780.084588023607</v>
      </c>
      <c r="V20" s="479">
        <f>V19*(1+'Fayette County Statistics'!$L$5)</f>
        <v>11046.78664127599</v>
      </c>
      <c r="W20" s="479">
        <f>W19*(1+'Fayette County Statistics'!$L$5)</f>
        <v>6282.8940588777359</v>
      </c>
      <c r="X20" s="544">
        <f>X19*(1+'Fayette County Statistics'!$L$5)</f>
        <v>703.68413459430678</v>
      </c>
      <c r="Y20" s="544">
        <f>Y19*(1+'Fayette County Statistics'!$L$5)</f>
        <v>270.16444453174267</v>
      </c>
      <c r="Z20" s="544">
        <f t="shared" si="0"/>
        <v>973.84857912604946</v>
      </c>
      <c r="AA20" s="544">
        <f>'Bicycle Users'!X20</f>
        <v>251.06444659275422</v>
      </c>
      <c r="AB20" s="479">
        <f>'Bicycle Users'!Y20*10</f>
        <v>0</v>
      </c>
      <c r="AC20" s="479">
        <f>'Bicycle Users'!Z20*10</f>
        <v>894.239837890236</v>
      </c>
      <c r="AD20" s="479">
        <f>'Bicycle Users'!AA20*10</f>
        <v>5186.4909208685285</v>
      </c>
      <c r="AE20" s="479">
        <f>'Bicycle Users'!AB20*10</f>
        <v>0</v>
      </c>
      <c r="AF20" s="479">
        <f>'Bicycle Users'!AC20*10</f>
        <v>992.60622005816174</v>
      </c>
      <c r="AG20" s="479">
        <f>'Bicycle Users'!AD20*10</f>
        <v>5757.0049221640675</v>
      </c>
      <c r="AH20" s="544">
        <f t="shared" si="33"/>
        <v>973.84857912604946</v>
      </c>
      <c r="AI20" s="544">
        <f t="shared" si="34"/>
        <v>1868.0884170162853</v>
      </c>
      <c r="AJ20" s="544">
        <f t="shared" si="35"/>
        <v>6160.3394999945776</v>
      </c>
      <c r="AK20" s="544">
        <f t="shared" si="36"/>
        <v>251.06444659275422</v>
      </c>
      <c r="AL20" s="544">
        <f t="shared" si="37"/>
        <v>1243.670666650916</v>
      </c>
      <c r="AM20" s="544">
        <f t="shared" si="38"/>
        <v>6008.0693687568219</v>
      </c>
      <c r="AN20" s="479">
        <f>AN19*(1+'Fayette County Statistics'!$L$5)</f>
        <v>16703.350572393792</v>
      </c>
      <c r="AO20" s="479">
        <f>AO19*(1+'Fayette County Statistics'!$L$6)</f>
        <v>12862.836045243796</v>
      </c>
      <c r="AP20" s="479">
        <f>AP19*(1+'Fayette County Statistics'!$L$6)</f>
        <v>7683.6778976054457</v>
      </c>
      <c r="AQ20" s="544">
        <f>AQ19*(1+'Fayette County Statistics'!$L$6)</f>
        <v>706.89836657970102</v>
      </c>
      <c r="AR20" s="544">
        <f>AR19*(1+'Fayette County Statistics'!$L$6)</f>
        <v>361.13286118745594</v>
      </c>
      <c r="AS20" s="544">
        <f t="shared" si="1"/>
        <v>1068.0312277671569</v>
      </c>
      <c r="AT20" s="544">
        <f t="shared" si="72"/>
        <v>416.53217882919108</v>
      </c>
      <c r="AU20" s="479">
        <f t="shared" si="2"/>
        <v>0</v>
      </c>
      <c r="AV20" s="479">
        <f t="shared" si="3"/>
        <v>265.05758973440652</v>
      </c>
      <c r="AW20" s="479">
        <f t="shared" si="4"/>
        <v>2213.2394718057767</v>
      </c>
      <c r="AX20" s="479">
        <f t="shared" si="4"/>
        <v>0</v>
      </c>
      <c r="AY20" s="479">
        <f t="shared" si="73"/>
        <v>103.37245999641851</v>
      </c>
      <c r="AZ20" s="479">
        <f t="shared" si="74"/>
        <v>863.16339400425272</v>
      </c>
      <c r="BA20" s="544">
        <f t="shared" si="5"/>
        <v>1068.0312277671569</v>
      </c>
      <c r="BB20" s="544">
        <f t="shared" si="6"/>
        <v>1333.0888175015634</v>
      </c>
      <c r="BC20" s="544">
        <f t="shared" si="7"/>
        <v>3281.2706995729336</v>
      </c>
      <c r="BD20" s="544">
        <f t="shared" si="75"/>
        <v>416.53217882919108</v>
      </c>
      <c r="BE20" s="544">
        <f t="shared" si="75"/>
        <v>519.9046388256096</v>
      </c>
      <c r="BF20" s="544">
        <f t="shared" si="75"/>
        <v>1279.6955728334437</v>
      </c>
      <c r="BG20" s="479">
        <f t="shared" si="8"/>
        <v>19646.960621778049</v>
      </c>
      <c r="BH20" s="479">
        <f t="shared" si="9"/>
        <v>15200.568659190187</v>
      </c>
      <c r="BI20" s="479">
        <f t="shared" si="10"/>
        <v>8656.0886741366739</v>
      </c>
      <c r="BJ20" s="544">
        <f t="shared" si="11"/>
        <v>1050.1705484221116</v>
      </c>
      <c r="BK20" s="544">
        <f t="shared" si="12"/>
        <v>391.19736990994852</v>
      </c>
      <c r="BL20" s="544">
        <f t="shared" si="13"/>
        <v>1441.3679183320601</v>
      </c>
      <c r="BM20" s="544">
        <f t="shared" si="14"/>
        <v>425.11453967584475</v>
      </c>
      <c r="BN20" s="479">
        <f t="shared" si="39"/>
        <v>0</v>
      </c>
      <c r="BO20" s="479">
        <f t="shared" si="15"/>
        <v>1240.7539093664832</v>
      </c>
      <c r="BP20" s="479">
        <f t="shared" si="16"/>
        <v>7239.3457495401726</v>
      </c>
      <c r="BQ20" s="479">
        <f t="shared" si="17"/>
        <v>0</v>
      </c>
      <c r="BR20" s="479">
        <f t="shared" si="18"/>
        <v>1661.3783780073186</v>
      </c>
      <c r="BS20" s="479">
        <f t="shared" si="19"/>
        <v>9719.0147415003412</v>
      </c>
      <c r="BT20" s="544">
        <f t="shared" si="20"/>
        <v>1441.3679183320601</v>
      </c>
      <c r="BU20" s="544">
        <f t="shared" si="21"/>
        <v>2682.1218276985428</v>
      </c>
      <c r="BV20" s="544">
        <f t="shared" si="22"/>
        <v>8680.7136678722327</v>
      </c>
      <c r="BW20" s="544">
        <f t="shared" si="23"/>
        <v>425.11453967584475</v>
      </c>
      <c r="BX20" s="544">
        <f t="shared" si="24"/>
        <v>2086.4929176831633</v>
      </c>
      <c r="BY20" s="544">
        <f t="shared" si="25"/>
        <v>10144.129281176187</v>
      </c>
      <c r="CB20" s="491"/>
      <c r="CC20" s="491"/>
    </row>
    <row r="21" spans="1:81" x14ac:dyDescent="0.25">
      <c r="A21" s="486">
        <v>2032</v>
      </c>
      <c r="B21" s="479">
        <f>B20*(1+'Fayette County Statistics'!$L$5)</f>
        <v>4921.3868262167935</v>
      </c>
      <c r="C21" s="479">
        <f>C20*(1+'Fayette County Statistics'!$L$5)</f>
        <v>4200.3058964642087</v>
      </c>
      <c r="D21" s="479">
        <f>D20*(1+'Fayette County Statistics'!$L$5)</f>
        <v>2399.7752633477589</v>
      </c>
      <c r="E21" s="544">
        <f>E20*(1+'Fayette County Statistics'!$L$5)</f>
        <v>350.36718844877265</v>
      </c>
      <c r="F21" s="544">
        <f>F20*(1+'Fayette County Statistics'!$L$5)</f>
        <v>122.38853843073574</v>
      </c>
      <c r="G21" s="544">
        <f t="shared" si="26"/>
        <v>472.75572687950842</v>
      </c>
      <c r="H21" s="544">
        <f>'Bicycle Users'!G21</f>
        <v>175.99951781392468</v>
      </c>
      <c r="I21" s="479">
        <f>'Bicycle Users'!H21*10</f>
        <v>0</v>
      </c>
      <c r="J21" s="479">
        <f>'Bicycle Users'!I21*10</f>
        <v>350.39515587299803</v>
      </c>
      <c r="K21" s="479">
        <f>'Bicycle Users'!J21*10</f>
        <v>2075.8475539321494</v>
      </c>
      <c r="L21" s="479">
        <f>'Bicycle Users'!K21*10</f>
        <v>0</v>
      </c>
      <c r="M21" s="479">
        <f>'Bicycle Users'!L21*10</f>
        <v>676.26265083488624</v>
      </c>
      <c r="N21" s="479">
        <f>'Bicycle Users'!M21*10</f>
        <v>4006.3857790890488</v>
      </c>
      <c r="O21" s="544">
        <f t="shared" si="27"/>
        <v>472.75572687950842</v>
      </c>
      <c r="P21" s="544">
        <f t="shared" si="28"/>
        <v>823.1508827525065</v>
      </c>
      <c r="Q21" s="544">
        <f t="shared" si="29"/>
        <v>2548.6032808116579</v>
      </c>
      <c r="R21" s="544">
        <f t="shared" si="30"/>
        <v>175.99951781392468</v>
      </c>
      <c r="S21" s="544">
        <f t="shared" si="31"/>
        <v>852.26216864881098</v>
      </c>
      <c r="T21" s="544">
        <f t="shared" si="32"/>
        <v>4182.3852969029731</v>
      </c>
      <c r="U21" s="479">
        <f>U20*(1+'Fayette County Statistics'!$L$5)</f>
        <v>14945.626943728977</v>
      </c>
      <c r="V21" s="479">
        <f>V20*(1+'Fayette County Statistics'!$L$5)</f>
        <v>11170.514693891688</v>
      </c>
      <c r="W21" s="479">
        <f>W20*(1+'Fayette County Statistics'!$L$5)</f>
        <v>6353.2647713699153</v>
      </c>
      <c r="X21" s="544">
        <f>X20*(1+'Fayette County Statistics'!$L$5)</f>
        <v>711.56565439343092</v>
      </c>
      <c r="Y21" s="544">
        <f>Y20*(1+'Fayette County Statistics'!$L$5)</f>
        <v>273.1903851689064</v>
      </c>
      <c r="Z21" s="544">
        <f t="shared" si="0"/>
        <v>984.75603956233726</v>
      </c>
      <c r="AA21" s="544">
        <f>'Bicycle Users'!X21</f>
        <v>253.87646026394171</v>
      </c>
      <c r="AB21" s="479">
        <f>'Bicycle Users'!Y21*10</f>
        <v>0</v>
      </c>
      <c r="AC21" s="479">
        <f>'Bicycle Users'!Z21*10</f>
        <v>904.25565129430106</v>
      </c>
      <c r="AD21" s="479">
        <f>'Bicycle Users'!AA21*10</f>
        <v>5244.5815170198384</v>
      </c>
      <c r="AE21" s="479">
        <f>'Bicycle Users'!AB21*10</f>
        <v>0</v>
      </c>
      <c r="AF21" s="479">
        <f>'Bicycle Users'!AC21*10</f>
        <v>1003.7237729366743</v>
      </c>
      <c r="AG21" s="479">
        <f>'Bicycle Users'!AD21*10</f>
        <v>5821.485483892021</v>
      </c>
      <c r="AH21" s="544">
        <f t="shared" si="33"/>
        <v>984.75603956233726</v>
      </c>
      <c r="AI21" s="544">
        <f t="shared" si="34"/>
        <v>1889.0116908566383</v>
      </c>
      <c r="AJ21" s="544">
        <f t="shared" si="35"/>
        <v>6229.3375565821752</v>
      </c>
      <c r="AK21" s="544">
        <f t="shared" si="36"/>
        <v>253.87646026394171</v>
      </c>
      <c r="AL21" s="544">
        <f t="shared" si="37"/>
        <v>1257.600233200616</v>
      </c>
      <c r="AM21" s="544">
        <f t="shared" si="38"/>
        <v>6075.3619441559631</v>
      </c>
      <c r="AN21" s="479">
        <f>AN20*(1+'Fayette County Statistics'!$L$5)</f>
        <v>16890.434210884421</v>
      </c>
      <c r="AO21" s="479">
        <f>AO20*(1+'Fayette County Statistics'!$L$6)</f>
        <v>13013.545533757528</v>
      </c>
      <c r="AP21" s="479">
        <f>AP20*(1+'Fayette County Statistics'!$L$6)</f>
        <v>7773.7049462111509</v>
      </c>
      <c r="AQ21" s="544">
        <f>AQ20*(1+'Fayette County Statistics'!$L$6)</f>
        <v>715.18085505142597</v>
      </c>
      <c r="AR21" s="544">
        <f>AR20*(1+'Fayette County Statistics'!$L$6)</f>
        <v>365.36413247192411</v>
      </c>
      <c r="AS21" s="544">
        <f t="shared" si="1"/>
        <v>1080.5449875233501</v>
      </c>
      <c r="AT21" s="544">
        <f t="shared" si="72"/>
        <v>421.41254513410644</v>
      </c>
      <c r="AU21" s="479">
        <f t="shared" si="2"/>
        <v>0</v>
      </c>
      <c r="AV21" s="479">
        <f t="shared" si="3"/>
        <v>268.16317963970005</v>
      </c>
      <c r="AW21" s="479">
        <f t="shared" si="4"/>
        <v>2239.1712482492458</v>
      </c>
      <c r="AX21" s="479">
        <f t="shared" si="4"/>
        <v>0</v>
      </c>
      <c r="AY21" s="479">
        <f t="shared" si="73"/>
        <v>104.583640059483</v>
      </c>
      <c r="AZ21" s="479">
        <f t="shared" si="74"/>
        <v>873.27678681720545</v>
      </c>
      <c r="BA21" s="544">
        <f t="shared" si="5"/>
        <v>1080.5449875233501</v>
      </c>
      <c r="BB21" s="544">
        <f t="shared" si="6"/>
        <v>1348.7081671630501</v>
      </c>
      <c r="BC21" s="544">
        <f t="shared" si="7"/>
        <v>3319.7162357725956</v>
      </c>
      <c r="BD21" s="544">
        <f t="shared" si="75"/>
        <v>421.41254513410644</v>
      </c>
      <c r="BE21" s="544">
        <f t="shared" si="75"/>
        <v>525.99618519358944</v>
      </c>
      <c r="BF21" s="544">
        <f t="shared" si="75"/>
        <v>1294.6893319513119</v>
      </c>
      <c r="BG21" s="479">
        <f t="shared" si="8"/>
        <v>19867.01376994577</v>
      </c>
      <c r="BH21" s="479">
        <f t="shared" si="9"/>
        <v>15370.820590355896</v>
      </c>
      <c r="BI21" s="479">
        <f t="shared" si="10"/>
        <v>8753.0400347176746</v>
      </c>
      <c r="BJ21" s="544">
        <f t="shared" si="11"/>
        <v>1061.9328428422036</v>
      </c>
      <c r="BK21" s="544">
        <f t="shared" si="12"/>
        <v>395.57892359964217</v>
      </c>
      <c r="BL21" s="544">
        <f t="shared" si="13"/>
        <v>1457.5117664418458</v>
      </c>
      <c r="BM21" s="544">
        <f t="shared" si="14"/>
        <v>429.87597807786642</v>
      </c>
      <c r="BN21" s="479">
        <f t="shared" si="39"/>
        <v>0</v>
      </c>
      <c r="BO21" s="479">
        <f t="shared" si="15"/>
        <v>1254.650807167299</v>
      </c>
      <c r="BP21" s="479">
        <f t="shared" si="16"/>
        <v>7320.4290709519883</v>
      </c>
      <c r="BQ21" s="479">
        <f t="shared" si="17"/>
        <v>0</v>
      </c>
      <c r="BR21" s="479">
        <f t="shared" si="18"/>
        <v>1679.9864237715606</v>
      </c>
      <c r="BS21" s="479">
        <f t="shared" si="19"/>
        <v>9827.8712629810689</v>
      </c>
      <c r="BT21" s="544">
        <f t="shared" si="20"/>
        <v>1457.5117664418458</v>
      </c>
      <c r="BU21" s="544">
        <f t="shared" si="21"/>
        <v>2712.1625736091446</v>
      </c>
      <c r="BV21" s="544">
        <f t="shared" si="22"/>
        <v>8777.9408373938331</v>
      </c>
      <c r="BW21" s="544">
        <f t="shared" si="23"/>
        <v>429.87597807786642</v>
      </c>
      <c r="BX21" s="544">
        <f t="shared" si="24"/>
        <v>2109.862401849427</v>
      </c>
      <c r="BY21" s="544">
        <f t="shared" si="25"/>
        <v>10257.747241058936</v>
      </c>
      <c r="CB21" s="491"/>
      <c r="CC21" s="491"/>
    </row>
    <row r="22" spans="1:81" x14ac:dyDescent="0.25">
      <c r="A22" s="486">
        <v>2033</v>
      </c>
      <c r="B22" s="479">
        <f>B21*(1+'Fayette County Statistics'!$L$5)</f>
        <v>4976.5081595012771</v>
      </c>
      <c r="C22" s="479">
        <f>C21*(1+'Fayette County Statistics'!$L$5)</f>
        <v>4247.3508594779705</v>
      </c>
      <c r="D22" s="479">
        <f>D21*(1+'Fayette County Statistics'!$L$5)</f>
        <v>2426.6536244215495</v>
      </c>
      <c r="E22" s="544">
        <f>E21*(1+'Fayette County Statistics'!$L$5)</f>
        <v>354.29142916554611</v>
      </c>
      <c r="F22" s="544">
        <f>F21*(1+'Fayette County Statistics'!$L$5)</f>
        <v>123.75933484549905</v>
      </c>
      <c r="G22" s="544">
        <f t="shared" si="26"/>
        <v>478.05076401104515</v>
      </c>
      <c r="H22" s="544">
        <f>'Bicycle Users'!G22</f>
        <v>177.97077681507648</v>
      </c>
      <c r="I22" s="479">
        <f>'Bicycle Users'!H22*10</f>
        <v>0</v>
      </c>
      <c r="J22" s="479">
        <f>'Bicycle Users'!I22*10</f>
        <v>354.31970983515657</v>
      </c>
      <c r="K22" s="479">
        <f>'Bicycle Users'!J22*10</f>
        <v>2099.0978061290566</v>
      </c>
      <c r="L22" s="479">
        <f>'Bicycle Users'!K22*10</f>
        <v>0</v>
      </c>
      <c r="M22" s="479">
        <f>'Bicycle Users'!L22*10</f>
        <v>683.8370399818524</v>
      </c>
      <c r="N22" s="479">
        <f>'Bicycle Users'!M22*10</f>
        <v>4051.258765829079</v>
      </c>
      <c r="O22" s="544">
        <f t="shared" si="27"/>
        <v>478.05076401104515</v>
      </c>
      <c r="P22" s="544">
        <f t="shared" si="28"/>
        <v>832.37047384620178</v>
      </c>
      <c r="Q22" s="544">
        <f t="shared" si="29"/>
        <v>2577.1485701401016</v>
      </c>
      <c r="R22" s="544">
        <f t="shared" si="30"/>
        <v>177.97077681507648</v>
      </c>
      <c r="S22" s="544">
        <f t="shared" si="31"/>
        <v>861.80781679692882</v>
      </c>
      <c r="T22" s="544">
        <f t="shared" si="32"/>
        <v>4229.2295426441551</v>
      </c>
      <c r="U22" s="479">
        <f>U21*(1+'Fayette County Statistics'!$L$5)</f>
        <v>15113.023434393406</v>
      </c>
      <c r="V22" s="479">
        <f>V21*(1+'Fayette County Statistics'!$L$5)</f>
        <v>11295.628545971174</v>
      </c>
      <c r="W22" s="479">
        <f>W21*(1+'Fayette County Statistics'!$L$5)</f>
        <v>6424.4236615920154</v>
      </c>
      <c r="X22" s="544">
        <f>X21*(1+'Fayette County Statistics'!$L$5)</f>
        <v>719.53545009830611</v>
      </c>
      <c r="Y22" s="544">
        <f>Y21*(1+'Fayette County Statistics'!$L$5)</f>
        <v>276.25021744845668</v>
      </c>
      <c r="Z22" s="544">
        <f t="shared" si="0"/>
        <v>995.78566754676285</v>
      </c>
      <c r="AA22" s="544">
        <f>'Bicycle Users'!X22</f>
        <v>256.71996951721684</v>
      </c>
      <c r="AB22" s="479">
        <f>'Bicycle Users'!Y22*10</f>
        <v>0</v>
      </c>
      <c r="AC22" s="479">
        <f>'Bicycle Users'!Z22*10</f>
        <v>914.38364547347169</v>
      </c>
      <c r="AD22" s="479">
        <f>'Bicycle Users'!AA22*10</f>
        <v>5303.32274910452</v>
      </c>
      <c r="AE22" s="479">
        <f>'Bicycle Users'!AB22*10</f>
        <v>0</v>
      </c>
      <c r="AF22" s="479">
        <f>'Bicycle Users'!AC22*10</f>
        <v>1014.9658464755532</v>
      </c>
      <c r="AG22" s="479">
        <f>'Bicycle Users'!AD22*10</f>
        <v>5886.6882515060161</v>
      </c>
      <c r="AH22" s="544">
        <f t="shared" si="33"/>
        <v>995.78566754676285</v>
      </c>
      <c r="AI22" s="544">
        <f t="shared" si="34"/>
        <v>1910.1693130202345</v>
      </c>
      <c r="AJ22" s="544">
        <f t="shared" si="35"/>
        <v>6299.1084166512828</v>
      </c>
      <c r="AK22" s="544">
        <f t="shared" si="36"/>
        <v>256.71996951721684</v>
      </c>
      <c r="AL22" s="544">
        <f t="shared" si="37"/>
        <v>1271.6858159927701</v>
      </c>
      <c r="AM22" s="544">
        <f t="shared" si="38"/>
        <v>6143.4082210232327</v>
      </c>
      <c r="AN22" s="479">
        <f>AN21*(1+'Fayette County Statistics'!$L$5)</f>
        <v>17079.613254583677</v>
      </c>
      <c r="AO22" s="479">
        <f>AO21*(1+'Fayette County Statistics'!$L$6)</f>
        <v>13166.020834246798</v>
      </c>
      <c r="AP22" s="479">
        <f>AP21*(1+'Fayette County Statistics'!$L$6)</f>
        <v>7864.786811219712</v>
      </c>
      <c r="AQ22" s="544">
        <f>AQ21*(1+'Fayette County Statistics'!$L$6)</f>
        <v>723.56038663221364</v>
      </c>
      <c r="AR22" s="544">
        <f>AR21*(1+'Fayette County Statistics'!$L$6)</f>
        <v>369.64498012732651</v>
      </c>
      <c r="AS22" s="544">
        <f t="shared" si="1"/>
        <v>1093.2053667595401</v>
      </c>
      <c r="AT22" s="544">
        <f t="shared" si="72"/>
        <v>426.35009303622053</v>
      </c>
      <c r="AU22" s="479">
        <f t="shared" si="2"/>
        <v>0</v>
      </c>
      <c r="AV22" s="479">
        <f t="shared" si="3"/>
        <v>271.30515668889529</v>
      </c>
      <c r="AW22" s="479">
        <f t="shared" si="4"/>
        <v>2265.4068585245609</v>
      </c>
      <c r="AX22" s="479">
        <f t="shared" si="4"/>
        <v>0</v>
      </c>
      <c r="AY22" s="479">
        <f t="shared" si="73"/>
        <v>105.8090111086691</v>
      </c>
      <c r="AZ22" s="479">
        <f t="shared" si="74"/>
        <v>883.50867482457863</v>
      </c>
      <c r="BA22" s="544">
        <f t="shared" si="5"/>
        <v>1093.2053667595401</v>
      </c>
      <c r="BB22" s="544">
        <f t="shared" si="6"/>
        <v>1364.5105234484354</v>
      </c>
      <c r="BC22" s="544">
        <f t="shared" si="7"/>
        <v>3358.612225284101</v>
      </c>
      <c r="BD22" s="544">
        <f t="shared" si="75"/>
        <v>426.35009303622053</v>
      </c>
      <c r="BE22" s="544">
        <f t="shared" si="75"/>
        <v>532.15910414488962</v>
      </c>
      <c r="BF22" s="544">
        <f t="shared" si="75"/>
        <v>1309.8587678607992</v>
      </c>
      <c r="BG22" s="479">
        <f t="shared" si="8"/>
        <v>20089.531593894684</v>
      </c>
      <c r="BH22" s="479">
        <f t="shared" si="9"/>
        <v>15542.979405449145</v>
      </c>
      <c r="BI22" s="479">
        <f t="shared" si="10"/>
        <v>8851.0772860135658</v>
      </c>
      <c r="BJ22" s="544">
        <f t="shared" si="11"/>
        <v>1073.8268792638523</v>
      </c>
      <c r="BK22" s="544">
        <f t="shared" si="12"/>
        <v>400.00955229395572</v>
      </c>
      <c r="BL22" s="544">
        <f t="shared" si="13"/>
        <v>1473.8364315578081</v>
      </c>
      <c r="BM22" s="544">
        <f t="shared" si="14"/>
        <v>434.69074633229332</v>
      </c>
      <c r="BN22" s="479">
        <f t="shared" si="39"/>
        <v>0</v>
      </c>
      <c r="BO22" s="479">
        <f t="shared" si="15"/>
        <v>1268.7033553086283</v>
      </c>
      <c r="BP22" s="479">
        <f t="shared" si="16"/>
        <v>7402.420555233577</v>
      </c>
      <c r="BQ22" s="479">
        <f t="shared" si="17"/>
        <v>0</v>
      </c>
      <c r="BR22" s="479">
        <f t="shared" si="18"/>
        <v>1698.8028864574057</v>
      </c>
      <c r="BS22" s="479">
        <f t="shared" si="19"/>
        <v>9937.9470173350946</v>
      </c>
      <c r="BT22" s="544">
        <f t="shared" si="20"/>
        <v>1473.8364315578081</v>
      </c>
      <c r="BU22" s="544">
        <f t="shared" si="21"/>
        <v>2742.5397868664363</v>
      </c>
      <c r="BV22" s="544">
        <f t="shared" si="22"/>
        <v>8876.2569867913844</v>
      </c>
      <c r="BW22" s="544">
        <f t="shared" si="23"/>
        <v>434.69074633229332</v>
      </c>
      <c r="BX22" s="544">
        <f t="shared" si="24"/>
        <v>2133.4936327896989</v>
      </c>
      <c r="BY22" s="544">
        <f t="shared" si="25"/>
        <v>10372.637763667388</v>
      </c>
      <c r="CB22" s="491"/>
      <c r="CC22" s="491"/>
    </row>
    <row r="23" spans="1:81" x14ac:dyDescent="0.25">
      <c r="A23" s="486">
        <v>2034</v>
      </c>
      <c r="B23" s="479">
        <f>B22*(1+'Fayette County Statistics'!$L$5)</f>
        <v>5032.2468718885111</v>
      </c>
      <c r="C23" s="479">
        <f>C22*(1+'Fayette County Statistics'!$L$5)</f>
        <v>4294.9227432921507</v>
      </c>
      <c r="D23" s="479">
        <f>D22*(1+'Fayette County Statistics'!$L$5)</f>
        <v>2453.83303297468</v>
      </c>
      <c r="E23" s="544">
        <f>E22*(1+'Fayette County Statistics'!$L$5)</f>
        <v>358.25962281430316</v>
      </c>
      <c r="F23" s="544">
        <f>F22*(1+'Fayette County Statistics'!$L$5)</f>
        <v>125.14548468170871</v>
      </c>
      <c r="G23" s="544">
        <f t="shared" si="26"/>
        <v>483.40510749601185</v>
      </c>
      <c r="H23" s="544">
        <f>'Bicycle Users'!G23</f>
        <v>179.96411463836307</v>
      </c>
      <c r="I23" s="479">
        <f>'Bicycle Users'!H23*10</f>
        <v>0</v>
      </c>
      <c r="J23" s="479">
        <f>'Bicycle Users'!I23*10</f>
        <v>358.28822023776183</v>
      </c>
      <c r="K23" s="479">
        <f>'Bicycle Users'!J23*10</f>
        <v>2122.6084696582857</v>
      </c>
      <c r="L23" s="479">
        <f>'Bicycle Users'!K23*10</f>
        <v>0</v>
      </c>
      <c r="M23" s="479">
        <f>'Bicycle Users'!L23*10</f>
        <v>691.49626505888045</v>
      </c>
      <c r="N23" s="479">
        <f>'Bicycle Users'!M23*10</f>
        <v>4096.6343464404918</v>
      </c>
      <c r="O23" s="544">
        <f t="shared" si="27"/>
        <v>483.40510749601185</v>
      </c>
      <c r="P23" s="544">
        <f t="shared" si="28"/>
        <v>841.69332773377369</v>
      </c>
      <c r="Q23" s="544">
        <f t="shared" si="29"/>
        <v>2606.0135771542973</v>
      </c>
      <c r="R23" s="544">
        <f t="shared" si="30"/>
        <v>179.96411463836307</v>
      </c>
      <c r="S23" s="544">
        <f t="shared" si="31"/>
        <v>871.46037969724352</v>
      </c>
      <c r="T23" s="544">
        <f t="shared" si="32"/>
        <v>4276.5984610788546</v>
      </c>
      <c r="U23" s="479">
        <f>U22*(1+'Fayette County Statistics'!$L$5)</f>
        <v>15282.294827006899</v>
      </c>
      <c r="V23" s="479">
        <f>V22*(1+'Fayette County Statistics'!$L$5)</f>
        <v>11422.143718975536</v>
      </c>
      <c r="W23" s="479">
        <f>W22*(1+'Fayette County Statistics'!$L$5)</f>
        <v>6496.3795574230207</v>
      </c>
      <c r="X23" s="544">
        <f>X22*(1+'Fayette County Statistics'!$L$5)</f>
        <v>727.59451043137869</v>
      </c>
      <c r="Y23" s="544">
        <f>Y22*(1+'Fayette County Statistics'!$L$5)</f>
        <v>279.34432096918988</v>
      </c>
      <c r="Z23" s="544">
        <f t="shared" si="0"/>
        <v>1006.9388314005686</v>
      </c>
      <c r="AA23" s="544">
        <f>'Bicycle Users'!X23</f>
        <v>259.59532711462379</v>
      </c>
      <c r="AB23" s="479">
        <f>'Bicycle Users'!Y23*10</f>
        <v>0</v>
      </c>
      <c r="AC23" s="479">
        <f>'Bicycle Users'!Z23*10</f>
        <v>924.62507689347831</v>
      </c>
      <c r="AD23" s="479">
        <f>'Bicycle Users'!AA23*10</f>
        <v>5362.7219044831054</v>
      </c>
      <c r="AE23" s="479">
        <f>'Bicycle Users'!AB23*10</f>
        <v>0</v>
      </c>
      <c r="AF23" s="479">
        <f>'Bicycle Users'!AC23*10</f>
        <v>1026.3338353517606</v>
      </c>
      <c r="AG23" s="479">
        <f>'Bicycle Users'!AD23*10</f>
        <v>5952.6213139762467</v>
      </c>
      <c r="AH23" s="544">
        <f t="shared" si="33"/>
        <v>1006.9388314005686</v>
      </c>
      <c r="AI23" s="544">
        <f t="shared" si="34"/>
        <v>1931.563908294047</v>
      </c>
      <c r="AJ23" s="544">
        <f t="shared" si="35"/>
        <v>6369.6607358836736</v>
      </c>
      <c r="AK23" s="544">
        <f t="shared" si="36"/>
        <v>259.59532711462379</v>
      </c>
      <c r="AL23" s="544">
        <f t="shared" si="37"/>
        <v>1285.9291624663845</v>
      </c>
      <c r="AM23" s="544">
        <f t="shared" si="38"/>
        <v>6212.2166410908703</v>
      </c>
      <c r="AN23" s="479">
        <f>AN22*(1+'Fayette County Statistics'!$L$5)</f>
        <v>17270.911172796645</v>
      </c>
      <c r="AO23" s="479">
        <f>AO22*(1+'Fayette County Statistics'!$L$6)</f>
        <v>13320.282636131786</v>
      </c>
      <c r="AP23" s="479">
        <f>AP22*(1+'Fayette County Statistics'!$L$6)</f>
        <v>7956.9358515572621</v>
      </c>
      <c r="AQ23" s="544">
        <f>AQ22*(1+'Fayette County Statistics'!$L$6)</f>
        <v>732.0380983432683</v>
      </c>
      <c r="AR23" s="544">
        <f>AR22*(1+'Fayette County Statistics'!$L$6)</f>
        <v>373.97598502319136</v>
      </c>
      <c r="AS23" s="544">
        <f t="shared" si="1"/>
        <v>1106.0140833664595</v>
      </c>
      <c r="AT23" s="544">
        <f t="shared" si="72"/>
        <v>431.34549251291912</v>
      </c>
      <c r="AU23" s="479">
        <f t="shared" si="2"/>
        <v>0</v>
      </c>
      <c r="AV23" s="479">
        <f t="shared" si="3"/>
        <v>274.48394721781892</v>
      </c>
      <c r="AW23" s="479">
        <f t="shared" si="4"/>
        <v>2291.9498625497099</v>
      </c>
      <c r="AX23" s="479">
        <f t="shared" si="4"/>
        <v>0</v>
      </c>
      <c r="AY23" s="479">
        <f t="shared" si="73"/>
        <v>107.0487394149493</v>
      </c>
      <c r="AZ23" s="479">
        <f t="shared" si="74"/>
        <v>893.86044639438671</v>
      </c>
      <c r="BA23" s="544">
        <f t="shared" si="5"/>
        <v>1106.0140833664595</v>
      </c>
      <c r="BB23" s="544">
        <f t="shared" si="6"/>
        <v>1380.4980305842785</v>
      </c>
      <c r="BC23" s="544">
        <f t="shared" si="7"/>
        <v>3397.9639459161695</v>
      </c>
      <c r="BD23" s="544">
        <f t="shared" si="75"/>
        <v>431.34549251291912</v>
      </c>
      <c r="BE23" s="544">
        <f t="shared" si="75"/>
        <v>538.39423192786842</v>
      </c>
      <c r="BF23" s="544">
        <f t="shared" si="75"/>
        <v>1325.2059389073058</v>
      </c>
      <c r="BG23" s="479">
        <f t="shared" si="8"/>
        <v>20314.541698895409</v>
      </c>
      <c r="BH23" s="479">
        <f t="shared" si="9"/>
        <v>15717.066462267687</v>
      </c>
      <c r="BI23" s="479">
        <f t="shared" si="10"/>
        <v>8950.2125903977012</v>
      </c>
      <c r="BJ23" s="544">
        <f t="shared" si="11"/>
        <v>1085.8541332456819</v>
      </c>
      <c r="BK23" s="544">
        <f t="shared" si="12"/>
        <v>404.48980565089857</v>
      </c>
      <c r="BL23" s="544">
        <f t="shared" si="13"/>
        <v>1490.3439388965803</v>
      </c>
      <c r="BM23" s="544">
        <f t="shared" si="14"/>
        <v>439.55944175298686</v>
      </c>
      <c r="BN23" s="479">
        <f t="shared" si="39"/>
        <v>0</v>
      </c>
      <c r="BO23" s="479">
        <f t="shared" si="15"/>
        <v>1282.9132971312401</v>
      </c>
      <c r="BP23" s="479">
        <f t="shared" si="16"/>
        <v>7485.3303741413911</v>
      </c>
      <c r="BQ23" s="479">
        <f t="shared" si="17"/>
        <v>0</v>
      </c>
      <c r="BR23" s="479">
        <f t="shared" si="18"/>
        <v>1717.8301004106411</v>
      </c>
      <c r="BS23" s="479">
        <f t="shared" si="19"/>
        <v>10049.255660416738</v>
      </c>
      <c r="BT23" s="544">
        <f t="shared" si="20"/>
        <v>1490.3439388965803</v>
      </c>
      <c r="BU23" s="544">
        <f t="shared" si="21"/>
        <v>2773.2572360278209</v>
      </c>
      <c r="BV23" s="544">
        <f t="shared" si="22"/>
        <v>8975.6743130379709</v>
      </c>
      <c r="BW23" s="544">
        <f t="shared" si="23"/>
        <v>439.55944175298686</v>
      </c>
      <c r="BX23" s="544">
        <f t="shared" si="24"/>
        <v>2157.389542163628</v>
      </c>
      <c r="BY23" s="544">
        <f t="shared" si="25"/>
        <v>10488.815102169725</v>
      </c>
      <c r="CB23" s="491"/>
      <c r="CC23" s="491"/>
    </row>
    <row r="24" spans="1:81" x14ac:dyDescent="0.25">
      <c r="A24" s="486">
        <v>2035</v>
      </c>
      <c r="B24" s="479">
        <f>B23*(1+'Fayette County Statistics'!$L$5)</f>
        <v>5088.6098782503577</v>
      </c>
      <c r="C24" s="479">
        <f>C23*(1+'Fayette County Statistics'!$L$5)</f>
        <v>4343.0274496125248</v>
      </c>
      <c r="D24" s="479">
        <f>D23*(1+'Fayette County Statistics'!$L$5)</f>
        <v>2481.3168608490782</v>
      </c>
      <c r="E24" s="544">
        <f>E23*(1+'Fayette County Statistics'!$L$5)</f>
        <v>362.27226168396527</v>
      </c>
      <c r="F24" s="544">
        <f>F23*(1+'Fayette County Statistics'!$L$5)</f>
        <v>126.54715990330301</v>
      </c>
      <c r="G24" s="544">
        <f t="shared" si="26"/>
        <v>488.81942158726827</v>
      </c>
      <c r="H24" s="544">
        <f>'Bicycle Users'!G24</f>
        <v>181.97977857467143</v>
      </c>
      <c r="I24" s="479">
        <f>'Bicycle Users'!H24*10</f>
        <v>0</v>
      </c>
      <c r="J24" s="479">
        <f>'Bicycle Users'!I24*10</f>
        <v>362.30117940903085</v>
      </c>
      <c r="K24" s="479">
        <f>'Bicycle Users'!J24*10</f>
        <v>2146.382461222051</v>
      </c>
      <c r="L24" s="479">
        <f>'Bicycle Users'!K24*10</f>
        <v>0</v>
      </c>
      <c r="M24" s="479">
        <f>'Bicycle Users'!L24*10</f>
        <v>699.24127625942958</v>
      </c>
      <c r="N24" s="479">
        <f>'Bicycle Users'!M24*10</f>
        <v>4142.5181501585594</v>
      </c>
      <c r="O24" s="544">
        <f t="shared" si="27"/>
        <v>488.81942158726827</v>
      </c>
      <c r="P24" s="544">
        <f t="shared" si="28"/>
        <v>851.12060099629912</v>
      </c>
      <c r="Q24" s="544">
        <f t="shared" si="29"/>
        <v>2635.2018828093192</v>
      </c>
      <c r="R24" s="544">
        <f t="shared" si="30"/>
        <v>181.97977857467143</v>
      </c>
      <c r="S24" s="544">
        <f t="shared" si="31"/>
        <v>881.22105483410098</v>
      </c>
      <c r="T24" s="544">
        <f t="shared" si="32"/>
        <v>4324.4979287332308</v>
      </c>
      <c r="U24" s="479">
        <f>U23*(1+'Fayette County Statistics'!$L$5)</f>
        <v>15453.462121157347</v>
      </c>
      <c r="V24" s="479">
        <f>V23*(1+'Fayette County Statistics'!$L$5)</f>
        <v>11550.075908211902</v>
      </c>
      <c r="W24" s="479">
        <f>W23*(1+'Fayette County Statistics'!$L$5)</f>
        <v>6569.1413856173904</v>
      </c>
      <c r="X24" s="544">
        <f>X23*(1+'Fayette County Statistics'!$L$5)</f>
        <v>735.74383518914806</v>
      </c>
      <c r="Y24" s="544">
        <f>Y23*(1+'Fayette County Statistics'!$L$5)</f>
        <v>282.47307958154778</v>
      </c>
      <c r="Z24" s="544">
        <f t="shared" si="0"/>
        <v>1018.2169147706959</v>
      </c>
      <c r="AA24" s="544">
        <f>'Bicycle Users'!X24</f>
        <v>262.50288976927078</v>
      </c>
      <c r="AB24" s="479">
        <f>'Bicycle Users'!Y24*10</f>
        <v>0</v>
      </c>
      <c r="AC24" s="479">
        <f>'Bicycle Users'!Z24*10</f>
        <v>934.98121609292843</v>
      </c>
      <c r="AD24" s="479">
        <f>'Bicycle Users'!AA24*10</f>
        <v>5422.7863521372346</v>
      </c>
      <c r="AE24" s="479">
        <f>'Bicycle Users'!AB24*10</f>
        <v>0</v>
      </c>
      <c r="AF24" s="479">
        <f>'Bicycle Users'!AC24*10</f>
        <v>1037.8291498631506</v>
      </c>
      <c r="AG24" s="479">
        <f>'Bicycle Users'!AD24*10</f>
        <v>6019.2928508723298</v>
      </c>
      <c r="AH24" s="544">
        <f t="shared" si="33"/>
        <v>1018.2169147706959</v>
      </c>
      <c r="AI24" s="544">
        <f t="shared" si="34"/>
        <v>1953.1981308636243</v>
      </c>
      <c r="AJ24" s="544">
        <f t="shared" si="35"/>
        <v>6441.0032669079301</v>
      </c>
      <c r="AK24" s="544">
        <f t="shared" si="36"/>
        <v>262.50288976927078</v>
      </c>
      <c r="AL24" s="544">
        <f t="shared" si="37"/>
        <v>1300.3320396324214</v>
      </c>
      <c r="AM24" s="544">
        <f t="shared" si="38"/>
        <v>6281.7957406416008</v>
      </c>
      <c r="AN24" s="479">
        <f>AN23*(1+'Fayette County Statistics'!$L$5)</f>
        <v>17464.351697693215</v>
      </c>
      <c r="AO24" s="479">
        <f>AO23*(1+'Fayette County Statistics'!$L$6)</f>
        <v>13476.351871243591</v>
      </c>
      <c r="AP24" s="479">
        <f>AP23*(1+'Fayette County Statistics'!$L$6)</f>
        <v>8050.1645709552822</v>
      </c>
      <c r="AQ24" s="544">
        <f>AQ23*(1+'Fayette County Statistics'!$L$6)</f>
        <v>740.61514052788618</v>
      </c>
      <c r="AR24" s="544">
        <f>AR23*(1+'Fayette County Statistics'!$L$6)</f>
        <v>378.35773483489828</v>
      </c>
      <c r="AS24" s="544">
        <f t="shared" si="1"/>
        <v>1118.9728753627844</v>
      </c>
      <c r="AT24" s="544">
        <f t="shared" si="72"/>
        <v>436.39942139148582</v>
      </c>
      <c r="AU24" s="479">
        <f t="shared" si="2"/>
        <v>0</v>
      </c>
      <c r="AV24" s="479">
        <f t="shared" si="3"/>
        <v>277.69998255753126</v>
      </c>
      <c r="AW24" s="479">
        <f t="shared" si="4"/>
        <v>2318.8038619530307</v>
      </c>
      <c r="AX24" s="479">
        <f t="shared" si="4"/>
        <v>0</v>
      </c>
      <c r="AY24" s="479">
        <f t="shared" si="73"/>
        <v>108.3029931974371</v>
      </c>
      <c r="AZ24" s="479">
        <f t="shared" si="74"/>
        <v>904.33350616168161</v>
      </c>
      <c r="BA24" s="544">
        <f t="shared" si="5"/>
        <v>1118.9728753627844</v>
      </c>
      <c r="BB24" s="544">
        <f t="shared" si="6"/>
        <v>1396.6728579203157</v>
      </c>
      <c r="BC24" s="544">
        <f t="shared" si="7"/>
        <v>3437.7767373158149</v>
      </c>
      <c r="BD24" s="544">
        <f t="shared" si="75"/>
        <v>436.39942139148582</v>
      </c>
      <c r="BE24" s="544">
        <f t="shared" si="75"/>
        <v>544.70241458892292</v>
      </c>
      <c r="BF24" s="544">
        <f t="shared" si="75"/>
        <v>1340.7329275531674</v>
      </c>
      <c r="BG24" s="479">
        <f t="shared" si="8"/>
        <v>20542.071999407704</v>
      </c>
      <c r="BH24" s="479">
        <f t="shared" si="9"/>
        <v>15893.103357824428</v>
      </c>
      <c r="BI24" s="479">
        <f t="shared" si="10"/>
        <v>9050.4582464664691</v>
      </c>
      <c r="BJ24" s="544">
        <f t="shared" si="11"/>
        <v>1098.0160968731134</v>
      </c>
      <c r="BK24" s="544">
        <f t="shared" si="12"/>
        <v>409.02023948485078</v>
      </c>
      <c r="BL24" s="544">
        <f t="shared" si="13"/>
        <v>1507.036336357964</v>
      </c>
      <c r="BM24" s="544">
        <f t="shared" si="14"/>
        <v>444.48266834394224</v>
      </c>
      <c r="BN24" s="479">
        <f t="shared" si="39"/>
        <v>0</v>
      </c>
      <c r="BO24" s="479">
        <f t="shared" si="15"/>
        <v>1297.2823955019594</v>
      </c>
      <c r="BP24" s="479">
        <f t="shared" si="16"/>
        <v>7569.1688133592852</v>
      </c>
      <c r="BQ24" s="479">
        <f t="shared" si="17"/>
        <v>0</v>
      </c>
      <c r="BR24" s="479">
        <f t="shared" si="18"/>
        <v>1737.0704261225801</v>
      </c>
      <c r="BS24" s="479">
        <f t="shared" si="19"/>
        <v>10161.811001030888</v>
      </c>
      <c r="BT24" s="544">
        <f t="shared" si="20"/>
        <v>1507.036336357964</v>
      </c>
      <c r="BU24" s="544">
        <f t="shared" si="21"/>
        <v>2804.3187318599234</v>
      </c>
      <c r="BV24" s="544">
        <f t="shared" si="22"/>
        <v>9076.2051497172488</v>
      </c>
      <c r="BW24" s="544">
        <f t="shared" si="23"/>
        <v>444.48266834394224</v>
      </c>
      <c r="BX24" s="544">
        <f t="shared" si="24"/>
        <v>2181.5530944665225</v>
      </c>
      <c r="BY24" s="544">
        <f t="shared" si="25"/>
        <v>10606.293669374831</v>
      </c>
      <c r="CB24" s="491"/>
      <c r="CC24" s="491"/>
    </row>
    <row r="25" spans="1:81" x14ac:dyDescent="0.25">
      <c r="A25" s="486">
        <v>2036</v>
      </c>
      <c r="B25" s="479">
        <f>B24*(1+'Fayette County Statistics'!$L$5)</f>
        <v>5145.6041709077745</v>
      </c>
      <c r="C25" s="479">
        <f>C24*(1+'Fayette County Statistics'!$L$5)</f>
        <v>4391.6709462461313</v>
      </c>
      <c r="D25" s="479">
        <f>D24*(1+'Fayette County Statistics'!$L$5)</f>
        <v>2509.1085176525353</v>
      </c>
      <c r="E25" s="544">
        <f>E24*(1+'Fayette County Statistics'!$L$5)</f>
        <v>366.32984357726997</v>
      </c>
      <c r="F25" s="544">
        <f>F24*(1+'Fayette County Statistics'!$L$5)</f>
        <v>127.96453440027931</v>
      </c>
      <c r="G25" s="544">
        <f t="shared" si="26"/>
        <v>494.29437797754929</v>
      </c>
      <c r="H25" s="544">
        <f>'Bicycle Users'!G25</f>
        <v>184.01801868463696</v>
      </c>
      <c r="I25" s="479">
        <f>'Bicycle Users'!H25*10</f>
        <v>0</v>
      </c>
      <c r="J25" s="479">
        <f>'Bicycle Users'!I25*10</f>
        <v>366.35908519143783</v>
      </c>
      <c r="K25" s="479">
        <f>'Bicycle Users'!J25*10</f>
        <v>2170.4227301906944</v>
      </c>
      <c r="L25" s="479">
        <f>'Bicycle Users'!K25*10</f>
        <v>0</v>
      </c>
      <c r="M25" s="479">
        <f>'Bicycle Users'!L25*10</f>
        <v>707.07303441947511</v>
      </c>
      <c r="N25" s="479">
        <f>'Bicycle Users'!M25*10</f>
        <v>4188.9158692680403</v>
      </c>
      <c r="O25" s="544">
        <f t="shared" si="27"/>
        <v>494.29437797754929</v>
      </c>
      <c r="P25" s="544">
        <f t="shared" si="28"/>
        <v>860.65346316898717</v>
      </c>
      <c r="Q25" s="544">
        <f t="shared" si="29"/>
        <v>2664.7171081682436</v>
      </c>
      <c r="R25" s="544">
        <f t="shared" si="30"/>
        <v>184.01801868463696</v>
      </c>
      <c r="S25" s="544">
        <f t="shared" si="31"/>
        <v>891.09105310411201</v>
      </c>
      <c r="T25" s="544">
        <f t="shared" si="32"/>
        <v>4372.9338879526777</v>
      </c>
      <c r="U25" s="479">
        <f>U24*(1+'Fayette County Statistics'!$L$5)</f>
        <v>15626.546551635711</v>
      </c>
      <c r="V25" s="479">
        <f>V24*(1+'Fayette County Statistics'!$L$5)</f>
        <v>11679.440984780584</v>
      </c>
      <c r="W25" s="479">
        <f>W24*(1+'Fayette County Statistics'!$L$5)</f>
        <v>6642.7181729125004</v>
      </c>
      <c r="X25" s="544">
        <f>X24*(1+'Fayette County Statistics'!$L$5)</f>
        <v>743.98443536620039</v>
      </c>
      <c r="Y25" s="544">
        <f>Y24*(1+'Fayette County Statistics'!$L$5)</f>
        <v>285.63688143523751</v>
      </c>
      <c r="Z25" s="544">
        <f t="shared" si="0"/>
        <v>1029.6213168014378</v>
      </c>
      <c r="AA25" s="544">
        <f>'Bicycle Users'!X25</f>
        <v>265.44301818958337</v>
      </c>
      <c r="AB25" s="479">
        <f>'Bicycle Users'!Y25*10</f>
        <v>0</v>
      </c>
      <c r="AC25" s="479">
        <f>'Bicycle Users'!Z25*10</f>
        <v>945.45334784092324</v>
      </c>
      <c r="AD25" s="479">
        <f>'Bicycle Users'!AA25*10</f>
        <v>5483.523543583834</v>
      </c>
      <c r="AE25" s="479">
        <f>'Bicycle Users'!AB25*10</f>
        <v>0</v>
      </c>
      <c r="AF25" s="479">
        <f>'Bicycle Users'!AC25*10</f>
        <v>1049.4532161034249</v>
      </c>
      <c r="AG25" s="479">
        <f>'Bicycle Users'!AD25*10</f>
        <v>6086.7111333780558</v>
      </c>
      <c r="AH25" s="544">
        <f t="shared" si="33"/>
        <v>1029.6213168014378</v>
      </c>
      <c r="AI25" s="544">
        <f t="shared" si="34"/>
        <v>1975.0746646423611</v>
      </c>
      <c r="AJ25" s="544">
        <f t="shared" si="35"/>
        <v>6513.1448603852714</v>
      </c>
      <c r="AK25" s="544">
        <f t="shared" si="36"/>
        <v>265.44301818958337</v>
      </c>
      <c r="AL25" s="544">
        <f t="shared" si="37"/>
        <v>1314.8962342930083</v>
      </c>
      <c r="AM25" s="544">
        <f t="shared" si="38"/>
        <v>6352.154151567639</v>
      </c>
      <c r="AN25" s="479">
        <f>AN24*(1+'Fayette County Statistics'!$L$5)</f>
        <v>17659.958827252263</v>
      </c>
      <c r="AO25" s="479">
        <f>AO24*(1+'Fayette County Statistics'!$L$6)</f>
        <v>13634.249716664484</v>
      </c>
      <c r="AP25" s="479">
        <f>AP24*(1+'Fayette County Statistics'!$L$6)</f>
        <v>8144.4856196472347</v>
      </c>
      <c r="AQ25" s="544">
        <f>AQ24*(1+'Fayette County Statistics'!$L$6)</f>
        <v>749.29267700754576</v>
      </c>
      <c r="AR25" s="544">
        <f>AR24*(1+'Fayette County Statistics'!$L$6)</f>
        <v>382.79082412342001</v>
      </c>
      <c r="AS25" s="544">
        <f t="shared" si="1"/>
        <v>1132.0835011309657</v>
      </c>
      <c r="AT25" s="544">
        <f t="shared" si="72"/>
        <v>441.5125654410765</v>
      </c>
      <c r="AU25" s="479">
        <f t="shared" si="2"/>
        <v>0</v>
      </c>
      <c r="AV25" s="479">
        <f t="shared" si="3"/>
        <v>280.95369909285114</v>
      </c>
      <c r="AW25" s="479">
        <f t="shared" si="4"/>
        <v>2345.9725005619184</v>
      </c>
      <c r="AX25" s="479">
        <f t="shared" si="4"/>
        <v>0</v>
      </c>
      <c r="AY25" s="479">
        <f t="shared" si="73"/>
        <v>109.57194264621194</v>
      </c>
      <c r="AZ25" s="479">
        <f t="shared" si="74"/>
        <v>914.92927521914817</v>
      </c>
      <c r="BA25" s="544">
        <f t="shared" si="5"/>
        <v>1132.0835011309657</v>
      </c>
      <c r="BB25" s="544">
        <f t="shared" si="6"/>
        <v>1413.0372002238169</v>
      </c>
      <c r="BC25" s="544">
        <f t="shared" si="7"/>
        <v>3478.0560016928844</v>
      </c>
      <c r="BD25" s="544">
        <f t="shared" si="75"/>
        <v>441.5125654410765</v>
      </c>
      <c r="BE25" s="544">
        <f t="shared" si="75"/>
        <v>551.08450808728844</v>
      </c>
      <c r="BF25" s="544">
        <f t="shared" si="75"/>
        <v>1356.4418406602247</v>
      </c>
      <c r="BG25" s="479">
        <f t="shared" si="8"/>
        <v>20772.150722543483</v>
      </c>
      <c r="BH25" s="479">
        <f t="shared" si="9"/>
        <v>16071.111931026715</v>
      </c>
      <c r="BI25" s="479">
        <f t="shared" si="10"/>
        <v>9151.8266905650362</v>
      </c>
      <c r="BJ25" s="544">
        <f t="shared" si="11"/>
        <v>1110.3142789434703</v>
      </c>
      <c r="BK25" s="544">
        <f t="shared" si="12"/>
        <v>413.60141583551683</v>
      </c>
      <c r="BL25" s="544">
        <f t="shared" si="13"/>
        <v>1523.915694778987</v>
      </c>
      <c r="BM25" s="544">
        <f t="shared" si="14"/>
        <v>449.46103687422033</v>
      </c>
      <c r="BN25" s="479">
        <f t="shared" si="39"/>
        <v>0</v>
      </c>
      <c r="BO25" s="479">
        <f t="shared" si="15"/>
        <v>1311.812433032361</v>
      </c>
      <c r="BP25" s="479">
        <f t="shared" si="16"/>
        <v>7653.9462737745289</v>
      </c>
      <c r="BQ25" s="479">
        <f t="shared" si="17"/>
        <v>0</v>
      </c>
      <c r="BR25" s="479">
        <f t="shared" si="18"/>
        <v>1756.5262505229</v>
      </c>
      <c r="BS25" s="479">
        <f t="shared" si="19"/>
        <v>10275.627002646095</v>
      </c>
      <c r="BT25" s="544">
        <f t="shared" si="20"/>
        <v>1523.915694778987</v>
      </c>
      <c r="BU25" s="544">
        <f t="shared" si="21"/>
        <v>2835.7281278113483</v>
      </c>
      <c r="BV25" s="544">
        <f t="shared" si="22"/>
        <v>9177.8619685535159</v>
      </c>
      <c r="BW25" s="544">
        <f t="shared" si="23"/>
        <v>449.46103687422033</v>
      </c>
      <c r="BX25" s="544">
        <f t="shared" si="24"/>
        <v>2205.9872873971203</v>
      </c>
      <c r="BY25" s="544">
        <f t="shared" si="25"/>
        <v>10725.088039520317</v>
      </c>
      <c r="CB25" s="491"/>
      <c r="CC25" s="491"/>
    </row>
    <row r="26" spans="1:81" x14ac:dyDescent="0.25">
      <c r="A26" s="486">
        <v>2037</v>
      </c>
      <c r="B26" s="479">
        <f>B25*(1+'Fayette County Statistics'!$L$5)</f>
        <v>5203.2368204982704</v>
      </c>
      <c r="C26" s="479">
        <f>C25*(1+'Fayette County Statistics'!$L$5)</f>
        <v>4440.8592678416326</v>
      </c>
      <c r="D26" s="479">
        <f>D25*(1+'Fayette County Statistics'!$L$5)</f>
        <v>2537.2114511816967</v>
      </c>
      <c r="E26" s="544">
        <f>E25*(1+'Fayette County Statistics'!$L$5)</f>
        <v>370.43287187252758</v>
      </c>
      <c r="F26" s="544">
        <f>F25*(1+'Fayette County Statistics'!$L$5)</f>
        <v>129.39778401026655</v>
      </c>
      <c r="G26" s="544">
        <f t="shared" si="26"/>
        <v>499.83065588279413</v>
      </c>
      <c r="H26" s="544">
        <f>'Bicycle Users'!G26</f>
        <v>186.07908782966567</v>
      </c>
      <c r="I26" s="479">
        <f>'Bicycle Users'!H26*10</f>
        <v>0</v>
      </c>
      <c r="J26" s="479">
        <f>'Bicycle Users'!I26*10</f>
        <v>370.46244100347423</v>
      </c>
      <c r="K26" s="479">
        <f>'Bicycle Users'!J26*10</f>
        <v>2194.7322589685878</v>
      </c>
      <c r="L26" s="479">
        <f>'Bicycle Users'!K26*10</f>
        <v>0</v>
      </c>
      <c r="M26" s="479">
        <f>'Bicycle Users'!L26*10</f>
        <v>714.99251113670562</v>
      </c>
      <c r="N26" s="479">
        <f>'Bicycle Users'!M26*10</f>
        <v>4235.8332598093748</v>
      </c>
      <c r="O26" s="544">
        <f t="shared" si="27"/>
        <v>499.83065588279413</v>
      </c>
      <c r="P26" s="544">
        <f t="shared" si="28"/>
        <v>870.29309688626836</v>
      </c>
      <c r="Q26" s="544">
        <f t="shared" si="29"/>
        <v>2694.5629148513817</v>
      </c>
      <c r="R26" s="544">
        <f t="shared" si="30"/>
        <v>186.07908782966567</v>
      </c>
      <c r="S26" s="544">
        <f t="shared" si="31"/>
        <v>901.07159896637131</v>
      </c>
      <c r="T26" s="544">
        <f t="shared" si="32"/>
        <v>4421.9123476390405</v>
      </c>
      <c r="U26" s="479">
        <f>U25*(1+'Fayette County Statistics'!$L$5)</f>
        <v>15801.569591070382</v>
      </c>
      <c r="V26" s="479">
        <f>V25*(1+'Fayette County Statistics'!$L$5)</f>
        <v>11810.254997544023</v>
      </c>
      <c r="W26" s="479">
        <f>W25*(1+'Fayette County Statistics'!$L$5)</f>
        <v>6717.1190471484888</v>
      </c>
      <c r="X26" s="544">
        <f>X25*(1+'Fayette County Statistics'!$L$5)</f>
        <v>752.31733328063115</v>
      </c>
      <c r="Y26" s="544">
        <f>Y25*(1+'Fayette County Statistics'!$L$5)</f>
        <v>288.836119027385</v>
      </c>
      <c r="Z26" s="544">
        <f t="shared" si="0"/>
        <v>1041.1534523080161</v>
      </c>
      <c r="AA26" s="544">
        <f>'Bicycle Users'!X26</f>
        <v>268.41607712405346</v>
      </c>
      <c r="AB26" s="479">
        <f>'Bicycle Users'!Y26*10</f>
        <v>0</v>
      </c>
      <c r="AC26" s="479">
        <f>'Bicycle Users'!Z26*10</f>
        <v>956.04277129645197</v>
      </c>
      <c r="AD26" s="479">
        <f>'Bicycle Users'!AA26*10</f>
        <v>5544.9410137995519</v>
      </c>
      <c r="AE26" s="479">
        <f>'Bicycle Users'!AB26*10</f>
        <v>0</v>
      </c>
      <c r="AF26" s="479">
        <f>'Bicycle Users'!AC26*10</f>
        <v>1061.2074761390618</v>
      </c>
      <c r="AG26" s="479">
        <f>'Bicycle Users'!AD26*10</f>
        <v>6154.8845253175023</v>
      </c>
      <c r="AH26" s="544">
        <f t="shared" si="33"/>
        <v>1041.1534523080161</v>
      </c>
      <c r="AI26" s="544">
        <f t="shared" si="34"/>
        <v>1997.1962236044681</v>
      </c>
      <c r="AJ26" s="544">
        <f t="shared" si="35"/>
        <v>6586.0944661075682</v>
      </c>
      <c r="AK26" s="544">
        <f t="shared" si="36"/>
        <v>268.41607712405346</v>
      </c>
      <c r="AL26" s="544">
        <f t="shared" si="37"/>
        <v>1329.6235532631154</v>
      </c>
      <c r="AM26" s="544">
        <f t="shared" si="38"/>
        <v>6423.3006024415554</v>
      </c>
      <c r="AN26" s="479">
        <f>AN25*(1+'Fayette County Statistics'!$L$5)</f>
        <v>17857.756828238817</v>
      </c>
      <c r="AO26" s="479">
        <f>AO25*(1+'Fayette County Statistics'!$L$6)</f>
        <v>13793.997597601425</v>
      </c>
      <c r="AP26" s="479">
        <f>AP25*(1+'Fayette County Statistics'!$L$6)</f>
        <v>8239.9117960850781</v>
      </c>
      <c r="AQ26" s="544">
        <f>AQ25*(1+'Fayette County Statistics'!$L$6)</f>
        <v>758.07188523982734</v>
      </c>
      <c r="AR26" s="544">
        <f>AR25*(1+'Fayette County Statistics'!$L$6)</f>
        <v>387.27585441599865</v>
      </c>
      <c r="AS26" s="544">
        <f t="shared" si="1"/>
        <v>1145.347739655826</v>
      </c>
      <c r="AT26" s="544">
        <f t="shared" si="72"/>
        <v>446.68561846577205</v>
      </c>
      <c r="AU26" s="479">
        <f t="shared" si="2"/>
        <v>0</v>
      </c>
      <c r="AV26" s="479">
        <f t="shared" si="3"/>
        <v>284.24553832157085</v>
      </c>
      <c r="AW26" s="479">
        <f t="shared" si="4"/>
        <v>2373.4594648972607</v>
      </c>
      <c r="AX26" s="479">
        <f t="shared" si="4"/>
        <v>0</v>
      </c>
      <c r="AY26" s="479">
        <f t="shared" si="73"/>
        <v>110.85575994541256</v>
      </c>
      <c r="AZ26" s="479">
        <f t="shared" si="74"/>
        <v>925.64919130993144</v>
      </c>
      <c r="BA26" s="544">
        <f t="shared" si="5"/>
        <v>1145.347739655826</v>
      </c>
      <c r="BB26" s="544">
        <f t="shared" si="6"/>
        <v>1429.5932779773968</v>
      </c>
      <c r="BC26" s="544">
        <f t="shared" si="7"/>
        <v>3518.8072045530866</v>
      </c>
      <c r="BD26" s="544">
        <f t="shared" si="75"/>
        <v>446.68561846577205</v>
      </c>
      <c r="BE26" s="544">
        <f t="shared" si="75"/>
        <v>557.54137841118461</v>
      </c>
      <c r="BF26" s="544">
        <f t="shared" si="75"/>
        <v>1372.3348097757034</v>
      </c>
      <c r="BG26" s="479">
        <f t="shared" si="8"/>
        <v>21004.80641156865</v>
      </c>
      <c r="BH26" s="479">
        <f t="shared" si="9"/>
        <v>16251.114265385655</v>
      </c>
      <c r="BI26" s="479">
        <f t="shared" si="10"/>
        <v>9254.3304983301859</v>
      </c>
      <c r="BJ26" s="544">
        <f t="shared" si="11"/>
        <v>1122.7502051531587</v>
      </c>
      <c r="BK26" s="544">
        <f t="shared" si="12"/>
        <v>418.23390303765154</v>
      </c>
      <c r="BL26" s="544">
        <f t="shared" si="13"/>
        <v>1540.9841081908103</v>
      </c>
      <c r="BM26" s="544">
        <f t="shared" si="14"/>
        <v>454.49516495371915</v>
      </c>
      <c r="BN26" s="479">
        <f t="shared" si="39"/>
        <v>0</v>
      </c>
      <c r="BO26" s="479">
        <f t="shared" si="15"/>
        <v>1326.5052122999261</v>
      </c>
      <c r="BP26" s="479">
        <f t="shared" si="16"/>
        <v>7739.6732727681392</v>
      </c>
      <c r="BQ26" s="479">
        <f t="shared" si="17"/>
        <v>0</v>
      </c>
      <c r="BR26" s="479">
        <f t="shared" si="18"/>
        <v>1776.1999872757674</v>
      </c>
      <c r="BS26" s="479">
        <f t="shared" si="19"/>
        <v>10390.717785126877</v>
      </c>
      <c r="BT26" s="544">
        <f t="shared" si="20"/>
        <v>1540.9841081908103</v>
      </c>
      <c r="BU26" s="544">
        <f t="shared" si="21"/>
        <v>2867.4893204907366</v>
      </c>
      <c r="BV26" s="544">
        <f t="shared" si="22"/>
        <v>9280.6573809589499</v>
      </c>
      <c r="BW26" s="544">
        <f t="shared" si="23"/>
        <v>454.49516495371915</v>
      </c>
      <c r="BX26" s="544">
        <f t="shared" si="24"/>
        <v>2230.6951522294867</v>
      </c>
      <c r="BY26" s="544">
        <f t="shared" si="25"/>
        <v>10845.212950080597</v>
      </c>
      <c r="CB26" s="491"/>
      <c r="CC26" s="491"/>
    </row>
    <row r="27" spans="1:81" x14ac:dyDescent="0.25">
      <c r="A27" s="486">
        <v>2038</v>
      </c>
      <c r="B27" s="479">
        <f>B26*(1+'Fayette County Statistics'!$L$5)</f>
        <v>5261.5149768530837</v>
      </c>
      <c r="C27" s="479">
        <f>C26*(1+'Fayette County Statistics'!$L$5)</f>
        <v>4490.5985166379642</v>
      </c>
      <c r="D27" s="479">
        <f>D26*(1+'Fayette County Statistics'!$L$5)</f>
        <v>2565.6291478497933</v>
      </c>
      <c r="E27" s="544">
        <f>E26*(1+'Fayette County Statistics'!$L$5)</f>
        <v>374.58185558606965</v>
      </c>
      <c r="F27" s="544">
        <f>F26*(1+'Fayette County Statistics'!$L$5)</f>
        <v>130.84708654033946</v>
      </c>
      <c r="G27" s="544">
        <f t="shared" si="26"/>
        <v>505.42894212640908</v>
      </c>
      <c r="H27" s="544">
        <f>'Bicycle Users'!G27</f>
        <v>188.16324170330387</v>
      </c>
      <c r="I27" s="479">
        <f>'Bicycle Users'!H27*10</f>
        <v>0</v>
      </c>
      <c r="J27" s="479">
        <f>'Bicycle Users'!I27*10</f>
        <v>374.61175590210274</v>
      </c>
      <c r="K27" s="479">
        <f>'Bicycle Users'!J27*10</f>
        <v>2219.3140633641215</v>
      </c>
      <c r="L27" s="479">
        <f>'Bicycle Users'!K27*10</f>
        <v>0</v>
      </c>
      <c r="M27" s="479">
        <f>'Bicycle Users'!L27*10</f>
        <v>723.0006888910583</v>
      </c>
      <c r="N27" s="479">
        <f>'Bicycle Users'!M27*10</f>
        <v>4283.2761422927542</v>
      </c>
      <c r="O27" s="544">
        <f t="shared" si="27"/>
        <v>505.42894212640908</v>
      </c>
      <c r="P27" s="544">
        <f t="shared" si="28"/>
        <v>880.04069802851177</v>
      </c>
      <c r="Q27" s="544">
        <f t="shared" si="29"/>
        <v>2724.7430054905308</v>
      </c>
      <c r="R27" s="544">
        <f t="shared" si="30"/>
        <v>188.16324170330387</v>
      </c>
      <c r="S27" s="544">
        <f t="shared" si="31"/>
        <v>911.16393059436223</v>
      </c>
      <c r="T27" s="544">
        <f t="shared" si="32"/>
        <v>4471.4393839960585</v>
      </c>
      <c r="U27" s="479">
        <f>U26*(1+'Fayette County Statistics'!$L$5)</f>
        <v>15978.552952591044</v>
      </c>
      <c r="V27" s="479">
        <f>V26*(1+'Fayette County Statistics'!$L$5)</f>
        <v>11942.534175117797</v>
      </c>
      <c r="W27" s="479">
        <f>W26*(1+'Fayette County Statistics'!$L$5)</f>
        <v>6792.353238400643</v>
      </c>
      <c r="X27" s="544">
        <f>X26*(1+'Fayette County Statistics'!$L$5)</f>
        <v>760.74356270087242</v>
      </c>
      <c r="Y27" s="544">
        <f>Y26*(1+'Fayette County Statistics'!$L$5)</f>
        <v>292.07118925122762</v>
      </c>
      <c r="Z27" s="544">
        <f t="shared" si="0"/>
        <v>1052.8147519521001</v>
      </c>
      <c r="AA27" s="544">
        <f>'Bicycle Users'!X27</f>
        <v>271.42243540648957</v>
      </c>
      <c r="AB27" s="479">
        <f>'Bicycle Users'!Y27*10</f>
        <v>0</v>
      </c>
      <c r="AC27" s="479">
        <f>'Bicycle Users'!Z27*10</f>
        <v>966.75080016955781</v>
      </c>
      <c r="AD27" s="479">
        <f>'Bicycle Users'!AA27*10</f>
        <v>5607.0463821555295</v>
      </c>
      <c r="AE27" s="479">
        <f>'Bicycle Users'!AB27*10</f>
        <v>0</v>
      </c>
      <c r="AF27" s="479">
        <f>'Bicycle Users'!AC27*10</f>
        <v>1073.0933881882088</v>
      </c>
      <c r="AG27" s="479">
        <f>'Bicycle Users'!AD27*10</f>
        <v>6223.8214841926356</v>
      </c>
      <c r="AH27" s="544">
        <f t="shared" si="33"/>
        <v>1052.8147519521001</v>
      </c>
      <c r="AI27" s="544">
        <f t="shared" si="34"/>
        <v>2019.5655521216579</v>
      </c>
      <c r="AJ27" s="544">
        <f t="shared" si="35"/>
        <v>6659.8611341076294</v>
      </c>
      <c r="AK27" s="544">
        <f t="shared" si="36"/>
        <v>271.42243540648957</v>
      </c>
      <c r="AL27" s="544">
        <f t="shared" si="37"/>
        <v>1344.5158235946983</v>
      </c>
      <c r="AM27" s="544">
        <f t="shared" si="38"/>
        <v>6495.2439195991255</v>
      </c>
      <c r="AN27" s="479">
        <f>AN26*(1+'Fayette County Statistics'!$L$5)</f>
        <v>18057.77023921454</v>
      </c>
      <c r="AO27" s="479">
        <f>AO26*(1+'Fayette County Statistics'!$L$6)</f>
        <v>13955.61719029326</v>
      </c>
      <c r="AP27" s="479">
        <f>AP26*(1+'Fayette County Statistics'!$L$6)</f>
        <v>8336.4560486758928</v>
      </c>
      <c r="AQ27" s="544">
        <f>AQ26*(1+'Fayette County Statistics'!$L$6)</f>
        <v>766.95395647818225</v>
      </c>
      <c r="AR27" s="544">
        <f>AR26*(1+'Fayette County Statistics'!$L$6)</f>
        <v>391.81343428776694</v>
      </c>
      <c r="AS27" s="544">
        <f t="shared" si="1"/>
        <v>1158.7673907659491</v>
      </c>
      <c r="AT27" s="544">
        <f t="shared" si="72"/>
        <v>451.91928239872004</v>
      </c>
      <c r="AU27" s="479">
        <f t="shared" si="2"/>
        <v>0</v>
      </c>
      <c r="AV27" s="479">
        <f t="shared" si="3"/>
        <v>287.5759469143627</v>
      </c>
      <c r="AW27" s="479">
        <f t="shared" si="4"/>
        <v>2401.2684846736579</v>
      </c>
      <c r="AX27" s="479">
        <f t="shared" si="4"/>
        <v>0</v>
      </c>
      <c r="AY27" s="479">
        <f t="shared" si="73"/>
        <v>112.15461929660148</v>
      </c>
      <c r="AZ27" s="479">
        <f t="shared" si="74"/>
        <v>936.49470902272628</v>
      </c>
      <c r="BA27" s="544">
        <f t="shared" si="5"/>
        <v>1158.7673907659491</v>
      </c>
      <c r="BB27" s="544">
        <f t="shared" si="6"/>
        <v>1446.3433376803118</v>
      </c>
      <c r="BC27" s="544">
        <f t="shared" si="7"/>
        <v>3560.035875439607</v>
      </c>
      <c r="BD27" s="544">
        <f t="shared" si="75"/>
        <v>451.91928239872004</v>
      </c>
      <c r="BE27" s="544">
        <f t="shared" si="75"/>
        <v>564.07390169532152</v>
      </c>
      <c r="BF27" s="544">
        <f t="shared" si="75"/>
        <v>1388.4139914214463</v>
      </c>
      <c r="BG27" s="479">
        <f t="shared" si="8"/>
        <v>21240.067929444129</v>
      </c>
      <c r="BH27" s="479">
        <f t="shared" si="9"/>
        <v>16433.13269175576</v>
      </c>
      <c r="BI27" s="479">
        <f t="shared" si="10"/>
        <v>9357.9823862504363</v>
      </c>
      <c r="BJ27" s="544">
        <f t="shared" si="11"/>
        <v>1135.3254182869421</v>
      </c>
      <c r="BK27" s="544">
        <f t="shared" si="12"/>
        <v>422.91827579156711</v>
      </c>
      <c r="BL27" s="544">
        <f t="shared" si="13"/>
        <v>1558.2436940785092</v>
      </c>
      <c r="BM27" s="544">
        <f t="shared" si="14"/>
        <v>459.58567710979344</v>
      </c>
      <c r="BN27" s="479">
        <f t="shared" si="39"/>
        <v>0</v>
      </c>
      <c r="BO27" s="479">
        <f t="shared" si="15"/>
        <v>1341.3625560716605</v>
      </c>
      <c r="BP27" s="479">
        <f t="shared" si="16"/>
        <v>7826.360445519651</v>
      </c>
      <c r="BQ27" s="479">
        <f t="shared" si="17"/>
        <v>0</v>
      </c>
      <c r="BR27" s="479">
        <f t="shared" si="18"/>
        <v>1796.0940770792672</v>
      </c>
      <c r="BS27" s="479">
        <f t="shared" si="19"/>
        <v>10507.097626485389</v>
      </c>
      <c r="BT27" s="544">
        <f t="shared" si="20"/>
        <v>1558.2436940785092</v>
      </c>
      <c r="BU27" s="544">
        <f t="shared" si="21"/>
        <v>2899.6062501501697</v>
      </c>
      <c r="BV27" s="544">
        <f t="shared" si="22"/>
        <v>9384.6041395981592</v>
      </c>
      <c r="BW27" s="544">
        <f t="shared" si="23"/>
        <v>459.58567710979344</v>
      </c>
      <c r="BX27" s="544">
        <f t="shared" si="24"/>
        <v>2255.6797541890605</v>
      </c>
      <c r="BY27" s="544">
        <f t="shared" si="25"/>
        <v>10966.683303595184</v>
      </c>
      <c r="CB27" s="491"/>
      <c r="CC27" s="491"/>
    </row>
    <row r="28" spans="1:81" x14ac:dyDescent="0.25">
      <c r="A28" s="486">
        <v>2039</v>
      </c>
      <c r="B28" s="479">
        <f>B27*(1+'Fayette County Statistics'!$L$5)</f>
        <v>5320.4458698841781</v>
      </c>
      <c r="C28" s="479">
        <f>C27*(1+'Fayette County Statistics'!$L$5)</f>
        <v>4540.8948632213705</v>
      </c>
      <c r="D28" s="479">
        <f>D27*(1+'Fayette County Statistics'!$L$5)</f>
        <v>2594.3651331191586</v>
      </c>
      <c r="E28" s="544">
        <f>E27*(1+'Fayette County Statistics'!$L$5)</f>
        <v>378.777309435397</v>
      </c>
      <c r="F28" s="544">
        <f>F27*(1+'Fayette County Statistics'!$L$5)</f>
        <v>132.3126217890771</v>
      </c>
      <c r="G28" s="544">
        <f t="shared" si="26"/>
        <v>511.08993122447407</v>
      </c>
      <c r="H28" s="544">
        <f>'Bicycle Users'!G28</f>
        <v>190.27073886295912</v>
      </c>
      <c r="I28" s="479">
        <f>'Bicycle Users'!H28*10</f>
        <v>0</v>
      </c>
      <c r="J28" s="479">
        <f>'Bicycle Users'!I28*10</f>
        <v>378.80754464591075</v>
      </c>
      <c r="K28" s="479">
        <f>'Bicycle Users'!J28*10</f>
        <v>2244.1711929638432</v>
      </c>
      <c r="L28" s="479">
        <f>'Bicycle Users'!K28*10</f>
        <v>0</v>
      </c>
      <c r="M28" s="479">
        <f>'Bicycle Users'!L28*10</f>
        <v>731.09856116660785</v>
      </c>
      <c r="N28" s="479">
        <f>'Bicycle Users'!M28*10</f>
        <v>4331.2504024202181</v>
      </c>
      <c r="O28" s="544">
        <f t="shared" si="27"/>
        <v>511.08993122447407</v>
      </c>
      <c r="P28" s="544">
        <f t="shared" si="28"/>
        <v>889.89747587038482</v>
      </c>
      <c r="Q28" s="544">
        <f t="shared" si="29"/>
        <v>2755.2611241883174</v>
      </c>
      <c r="R28" s="544">
        <f t="shared" si="30"/>
        <v>190.27073886295912</v>
      </c>
      <c r="S28" s="544">
        <f t="shared" si="31"/>
        <v>921.36930002956694</v>
      </c>
      <c r="T28" s="544">
        <f t="shared" si="32"/>
        <v>4521.5211412831768</v>
      </c>
      <c r="U28" s="479">
        <f>U27*(1+'Fayette County Statistics'!$L$5)</f>
        <v>16157.518592522381</v>
      </c>
      <c r="V28" s="479">
        <f>V27*(1+'Fayette County Statistics'!$L$5)</f>
        <v>12076.294927883913</v>
      </c>
      <c r="W28" s="479">
        <f>W27*(1+'Fayette County Statistics'!$L$5)</f>
        <v>6868.4300801244699</v>
      </c>
      <c r="X28" s="544">
        <f>X27*(1+'Fayette County Statistics'!$L$5)</f>
        <v>769.26416897394108</v>
      </c>
      <c r="Y28" s="544">
        <f>Y27*(1+'Fayette County Statistics'!$L$5)</f>
        <v>295.3424934453522</v>
      </c>
      <c r="Z28" s="544">
        <f t="shared" si="0"/>
        <v>1064.6066624192933</v>
      </c>
      <c r="AA28" s="544">
        <f>'Bicycle Users'!X28</f>
        <v>274.46246600177369</v>
      </c>
      <c r="AB28" s="479">
        <f>'Bicycle Users'!Y28*10</f>
        <v>0</v>
      </c>
      <c r="AC28" s="479">
        <f>'Bicycle Users'!Z28*10</f>
        <v>977.5787628843176</v>
      </c>
      <c r="AD28" s="479">
        <f>'Bicycle Users'!AA28*10</f>
        <v>5669.8473533626511</v>
      </c>
      <c r="AE28" s="479">
        <f>'Bicycle Users'!AB28*10</f>
        <v>0</v>
      </c>
      <c r="AF28" s="479">
        <f>'Bicycle Users'!AC28*10</f>
        <v>1085.1124268015924</v>
      </c>
      <c r="AG28" s="479">
        <f>'Bicycle Users'!AD28*10</f>
        <v>6293.5305622325413</v>
      </c>
      <c r="AH28" s="544">
        <f t="shared" si="33"/>
        <v>1064.6066624192933</v>
      </c>
      <c r="AI28" s="544">
        <f t="shared" si="34"/>
        <v>2042.1854253036108</v>
      </c>
      <c r="AJ28" s="544">
        <f t="shared" si="35"/>
        <v>6734.4540157819447</v>
      </c>
      <c r="AK28" s="544">
        <f t="shared" si="36"/>
        <v>274.46246600177369</v>
      </c>
      <c r="AL28" s="544">
        <f t="shared" si="37"/>
        <v>1359.5748928033661</v>
      </c>
      <c r="AM28" s="544">
        <f t="shared" si="38"/>
        <v>6567.9930282343148</v>
      </c>
      <c r="AN28" s="479">
        <f>AN27*(1+'Fayette County Statistics'!$L$5)</f>
        <v>18260.023873581977</v>
      </c>
      <c r="AO28" s="479">
        <f>AO27*(1+'Fayette County Statistics'!$L$6)</f>
        <v>14119.130424951976</v>
      </c>
      <c r="AP28" s="479">
        <f>AP27*(1+'Fayette County Statistics'!$L$6)</f>
        <v>8434.1314775388546</v>
      </c>
      <c r="AQ28" s="544">
        <f>AQ27*(1+'Fayette County Statistics'!$L$6)</f>
        <v>775.94009593357475</v>
      </c>
      <c r="AR28" s="544">
        <f>AR27*(1+'Fayette County Statistics'!$L$6)</f>
        <v>396.40417944432613</v>
      </c>
      <c r="AS28" s="544">
        <f t="shared" si="1"/>
        <v>1172.3442753779009</v>
      </c>
      <c r="AT28" s="544">
        <f t="shared" si="72"/>
        <v>457.21426739738121</v>
      </c>
      <c r="AU28" s="479">
        <f t="shared" si="2"/>
        <v>0</v>
      </c>
      <c r="AV28" s="479">
        <f t="shared" si="3"/>
        <v>290.94537677538801</v>
      </c>
      <c r="AW28" s="479">
        <f t="shared" si="4"/>
        <v>2429.4033333055136</v>
      </c>
      <c r="AX28" s="479">
        <f t="shared" si="4"/>
        <v>0</v>
      </c>
      <c r="AY28" s="479">
        <f t="shared" si="73"/>
        <v>113.46869694240132</v>
      </c>
      <c r="AZ28" s="479">
        <f t="shared" si="74"/>
        <v>947.46729998914998</v>
      </c>
      <c r="BA28" s="544">
        <f t="shared" si="5"/>
        <v>1172.3442753779009</v>
      </c>
      <c r="BB28" s="544">
        <f t="shared" si="6"/>
        <v>1463.2896521532889</v>
      </c>
      <c r="BC28" s="544">
        <f t="shared" si="7"/>
        <v>3601.7476086834145</v>
      </c>
      <c r="BD28" s="544">
        <f t="shared" si="75"/>
        <v>457.21426739738121</v>
      </c>
      <c r="BE28" s="544">
        <f t="shared" si="75"/>
        <v>570.68296433978253</v>
      </c>
      <c r="BF28" s="544">
        <f t="shared" si="75"/>
        <v>1404.6815673865312</v>
      </c>
      <c r="BG28" s="479">
        <f t="shared" si="8"/>
        <v>21477.964462406559</v>
      </c>
      <c r="BH28" s="479">
        <f t="shared" si="9"/>
        <v>16617.189791105284</v>
      </c>
      <c r="BI28" s="479">
        <f t="shared" si="10"/>
        <v>9462.7952132436294</v>
      </c>
      <c r="BJ28" s="544">
        <f t="shared" si="11"/>
        <v>1148.0414784093382</v>
      </c>
      <c r="BK28" s="544">
        <f t="shared" si="12"/>
        <v>427.65511523442933</v>
      </c>
      <c r="BL28" s="544">
        <f t="shared" si="13"/>
        <v>1575.6965936437673</v>
      </c>
      <c r="BM28" s="544">
        <f t="shared" si="14"/>
        <v>464.73320486473278</v>
      </c>
      <c r="BN28" s="479">
        <f t="shared" si="39"/>
        <v>0</v>
      </c>
      <c r="BO28" s="479">
        <f t="shared" si="15"/>
        <v>1356.3863075302284</v>
      </c>
      <c r="BP28" s="479">
        <f t="shared" si="16"/>
        <v>7914.0185463264943</v>
      </c>
      <c r="BQ28" s="479">
        <f t="shared" si="17"/>
        <v>0</v>
      </c>
      <c r="BR28" s="479">
        <f t="shared" si="18"/>
        <v>1816.2109879682002</v>
      </c>
      <c r="BS28" s="479">
        <f t="shared" si="19"/>
        <v>10624.78096465276</v>
      </c>
      <c r="BT28" s="544">
        <f t="shared" si="20"/>
        <v>1575.6965936437673</v>
      </c>
      <c r="BU28" s="544">
        <f t="shared" si="21"/>
        <v>2932.0829011739957</v>
      </c>
      <c r="BV28" s="544">
        <f t="shared" si="22"/>
        <v>9489.7151399702616</v>
      </c>
      <c r="BW28" s="544">
        <f t="shared" si="23"/>
        <v>464.73320486473278</v>
      </c>
      <c r="BX28" s="544">
        <f t="shared" si="24"/>
        <v>2280.9441928329329</v>
      </c>
      <c r="BY28" s="544">
        <f t="shared" si="25"/>
        <v>11089.514169517492</v>
      </c>
      <c r="CB28" s="491"/>
      <c r="CC28" s="491"/>
    </row>
    <row r="29" spans="1:81" x14ac:dyDescent="0.25">
      <c r="A29" s="486">
        <v>2040</v>
      </c>
      <c r="B29" s="479">
        <f>B28*(1+'Fayette County Statistics'!$L$5)</f>
        <v>5380.0368104811778</v>
      </c>
      <c r="C29" s="479">
        <f>C28*(1+'Fayette County Statistics'!$L$5)</f>
        <v>4591.7545472909196</v>
      </c>
      <c r="D29" s="479">
        <f>D28*(1+'Fayette County Statistics'!$L$5)</f>
        <v>2623.4229719385949</v>
      </c>
      <c r="E29" s="544">
        <f>E28*(1+'Fayette County Statistics'!$L$5)</f>
        <v>383.01975390303471</v>
      </c>
      <c r="F29" s="544">
        <f>F28*(1+'Fayette County Statistics'!$L$5)</f>
        <v>133.79457156886835</v>
      </c>
      <c r="G29" s="544">
        <f t="shared" si="26"/>
        <v>516.81432547190309</v>
      </c>
      <c r="H29" s="544">
        <f>'Bicycle Users'!G29</f>
        <v>192.40184076197659</v>
      </c>
      <c r="I29" s="479">
        <f>'Bicycle Users'!H29*10</f>
        <v>0</v>
      </c>
      <c r="J29" s="479">
        <f>'Bicycle Users'!I29*10</f>
        <v>383.0503277589699</v>
      </c>
      <c r="K29" s="479">
        <f>'Bicycle Users'!J29*10</f>
        <v>2269.3067315107874</v>
      </c>
      <c r="L29" s="479">
        <f>'Bicycle Users'!K29*10</f>
        <v>0</v>
      </c>
      <c r="M29" s="479">
        <f>'Bicycle Users'!L29*10</f>
        <v>739.28713257481206</v>
      </c>
      <c r="N29" s="479">
        <f>'Bicycle Users'!M29*10</f>
        <v>4379.7619918158198</v>
      </c>
      <c r="O29" s="544">
        <f t="shared" si="27"/>
        <v>516.81432547190309</v>
      </c>
      <c r="P29" s="544">
        <f t="shared" si="28"/>
        <v>899.86465323087305</v>
      </c>
      <c r="Q29" s="544">
        <f t="shared" si="29"/>
        <v>2786.1210569826903</v>
      </c>
      <c r="R29" s="544">
        <f t="shared" si="30"/>
        <v>192.40184076197659</v>
      </c>
      <c r="S29" s="544">
        <f t="shared" si="31"/>
        <v>931.68897333678865</v>
      </c>
      <c r="T29" s="544">
        <f t="shared" si="32"/>
        <v>4572.1638325777967</v>
      </c>
      <c r="U29" s="479">
        <f>U28*(1+'Fayette County Statistics'!$L$5)</f>
        <v>16338.488713107947</v>
      </c>
      <c r="V29" s="479">
        <f>V28*(1+'Fayette County Statistics'!$L$5)</f>
        <v>12211.553850026663</v>
      </c>
      <c r="W29" s="479">
        <f>W28*(1+'Fayette County Statistics'!$L$5)</f>
        <v>6945.3590103135957</v>
      </c>
      <c r="X29" s="544">
        <f>X28*(1+'Fayette County Statistics'!$L$5)</f>
        <v>777.88020915512311</v>
      </c>
      <c r="Y29" s="544">
        <f>Y28*(1+'Fayette County Statistics'!$L$5)</f>
        <v>298.65043744348458</v>
      </c>
      <c r="Z29" s="544">
        <f t="shared" si="0"/>
        <v>1076.5306465986077</v>
      </c>
      <c r="AA29" s="544">
        <f>'Bicycle Users'!X29</f>
        <v>277.53654605213114</v>
      </c>
      <c r="AB29" s="479">
        <f>'Bicycle Users'!Y29*10</f>
        <v>0</v>
      </c>
      <c r="AC29" s="479">
        <f>'Bicycle Users'!Z29*10</f>
        <v>988.52800274364517</v>
      </c>
      <c r="AD29" s="479">
        <f>'Bicycle Users'!AA29*10</f>
        <v>5733.351718427386</v>
      </c>
      <c r="AE29" s="479">
        <f>'Bicycle Users'!AB29*10</f>
        <v>0</v>
      </c>
      <c r="AF29" s="479">
        <f>'Bicycle Users'!AC29*10</f>
        <v>1097.2660830454458</v>
      </c>
      <c r="AG29" s="479">
        <f>'Bicycle Users'!AD29*10</f>
        <v>6364.020407454399</v>
      </c>
      <c r="AH29" s="544">
        <f t="shared" si="33"/>
        <v>1076.5306465986077</v>
      </c>
      <c r="AI29" s="544">
        <f t="shared" si="34"/>
        <v>2065.0586493422529</v>
      </c>
      <c r="AJ29" s="544">
        <f t="shared" si="35"/>
        <v>6809.8823650259937</v>
      </c>
      <c r="AK29" s="544">
        <f t="shared" si="36"/>
        <v>277.53654605213114</v>
      </c>
      <c r="AL29" s="544">
        <f t="shared" si="37"/>
        <v>1374.802629097577</v>
      </c>
      <c r="AM29" s="544">
        <f t="shared" si="38"/>
        <v>6641.5569535065297</v>
      </c>
      <c r="AN29" s="479">
        <f>AN28*(1+'Fayette County Statistics'!$L$5)</f>
        <v>18464.542822662854</v>
      </c>
      <c r="AO29" s="479">
        <f>AO28*(1+'Fayette County Statistics'!$L$6)</f>
        <v>14284.559488738418</v>
      </c>
      <c r="AP29" s="479">
        <f>AP28*(1+'Fayette County Statistics'!$L$6)</f>
        <v>8532.9513362827947</v>
      </c>
      <c r="AQ29" s="544">
        <f>AQ28*(1+'Fayette County Statistics'!$L$6)</f>
        <v>785.03152293801725</v>
      </c>
      <c r="AR29" s="544">
        <f>AR28*(1+'Fayette County Statistics'!$L$6)</f>
        <v>401.0487128052913</v>
      </c>
      <c r="AS29" s="544">
        <f t="shared" si="1"/>
        <v>1186.0802357433085</v>
      </c>
      <c r="AT29" s="544">
        <f t="shared" si="72"/>
        <v>462.57129193989022</v>
      </c>
      <c r="AU29" s="479">
        <f t="shared" si="2"/>
        <v>0</v>
      </c>
      <c r="AV29" s="479">
        <f t="shared" si="3"/>
        <v>294.35428510361521</v>
      </c>
      <c r="AW29" s="479">
        <f t="shared" si="4"/>
        <v>2457.8678284190478</v>
      </c>
      <c r="AX29" s="479">
        <f t="shared" si="4"/>
        <v>0</v>
      </c>
      <c r="AY29" s="479">
        <f t="shared" si="73"/>
        <v>114.7981711904099</v>
      </c>
      <c r="AZ29" s="479">
        <f t="shared" si="74"/>
        <v>958.56845308342849</v>
      </c>
      <c r="BA29" s="544">
        <f t="shared" si="5"/>
        <v>1186.0802357433085</v>
      </c>
      <c r="BB29" s="544">
        <f t="shared" si="6"/>
        <v>1480.4345208469238</v>
      </c>
      <c r="BC29" s="544">
        <f t="shared" si="7"/>
        <v>3643.9480641623563</v>
      </c>
      <c r="BD29" s="544">
        <f t="shared" si="75"/>
        <v>462.57129193989022</v>
      </c>
      <c r="BE29" s="544">
        <f t="shared" si="75"/>
        <v>577.36946313030012</v>
      </c>
      <c r="BF29" s="544">
        <f t="shared" si="75"/>
        <v>1421.1397450233187</v>
      </c>
      <c r="BG29" s="479">
        <f t="shared" si="8"/>
        <v>21718.525523589124</v>
      </c>
      <c r="BH29" s="479">
        <f t="shared" si="9"/>
        <v>16803.308397317582</v>
      </c>
      <c r="BI29" s="479">
        <f t="shared" si="10"/>
        <v>9568.7819822521906</v>
      </c>
      <c r="BJ29" s="544">
        <f t="shared" si="11"/>
        <v>1160.8999630581579</v>
      </c>
      <c r="BK29" s="544">
        <f t="shared" si="12"/>
        <v>432.4450090123529</v>
      </c>
      <c r="BL29" s="544">
        <f t="shared" si="13"/>
        <v>1593.3449720705107</v>
      </c>
      <c r="BM29" s="544">
        <f t="shared" si="14"/>
        <v>469.93838681410773</v>
      </c>
      <c r="BN29" s="479">
        <f t="shared" si="39"/>
        <v>0</v>
      </c>
      <c r="BO29" s="479">
        <f t="shared" si="15"/>
        <v>1371.578330502615</v>
      </c>
      <c r="BP29" s="479">
        <f t="shared" si="16"/>
        <v>8002.6584499381734</v>
      </c>
      <c r="BQ29" s="479">
        <f t="shared" si="17"/>
        <v>0</v>
      </c>
      <c r="BR29" s="479">
        <f t="shared" si="18"/>
        <v>1836.553215620258</v>
      </c>
      <c r="BS29" s="479">
        <f t="shared" si="19"/>
        <v>10743.782399270218</v>
      </c>
      <c r="BT29" s="544">
        <f t="shared" si="20"/>
        <v>1593.3449720705107</v>
      </c>
      <c r="BU29" s="544">
        <f t="shared" si="21"/>
        <v>2964.923302573126</v>
      </c>
      <c r="BV29" s="544">
        <f t="shared" si="22"/>
        <v>9596.0034220086836</v>
      </c>
      <c r="BW29" s="544">
        <f t="shared" si="23"/>
        <v>469.93838681410773</v>
      </c>
      <c r="BX29" s="544">
        <f t="shared" si="24"/>
        <v>2306.4916024343656</v>
      </c>
      <c r="BY29" s="544">
        <f t="shared" si="25"/>
        <v>11213.720786084326</v>
      </c>
      <c r="CB29" s="491"/>
      <c r="CC29" s="491"/>
    </row>
    <row r="30" spans="1:81" x14ac:dyDescent="0.25">
      <c r="A30" s="486">
        <v>2041</v>
      </c>
      <c r="B30" s="479">
        <f>B29*(1+'Fayette County Statistics'!$L$5)</f>
        <v>5440.2951914183441</v>
      </c>
      <c r="C30" s="479">
        <f>C29*(1+'Fayette County Statistics'!$L$5)</f>
        <v>4643.1838784325919</v>
      </c>
      <c r="D30" s="479">
        <f>D29*(1+'Fayette County Statistics'!$L$5)</f>
        <v>2652.8062691856353</v>
      </c>
      <c r="E30" s="544">
        <f>E29*(1+'Fayette County Statistics'!$L$5)</f>
        <v>387.30971530110264</v>
      </c>
      <c r="F30" s="544">
        <f>F29*(1+'Fayette County Statistics'!$L$5)</f>
        <v>135.29311972846742</v>
      </c>
      <c r="G30" s="544">
        <f t="shared" si="26"/>
        <v>522.60283502957009</v>
      </c>
      <c r="H30" s="544">
        <f>'Bicycle Users'!G30</f>
        <v>194.55681178207453</v>
      </c>
      <c r="I30" s="479">
        <f>'Bicycle Users'!H30*10</f>
        <v>0</v>
      </c>
      <c r="J30" s="479">
        <f>'Bicycle Users'!I30*10</f>
        <v>387.34063159541193</v>
      </c>
      <c r="K30" s="479">
        <f>'Bicycle Users'!J30*10</f>
        <v>2294.7237972870385</v>
      </c>
      <c r="L30" s="479">
        <f>'Bicycle Users'!K30*10</f>
        <v>0</v>
      </c>
      <c r="M30" s="479">
        <f>'Bicycle Users'!L30*10</f>
        <v>747.56741897914537</v>
      </c>
      <c r="N30" s="479">
        <f>'Bicycle Users'!M30*10</f>
        <v>4428.8169287639848</v>
      </c>
      <c r="O30" s="544">
        <f t="shared" si="27"/>
        <v>522.60283502957009</v>
      </c>
      <c r="P30" s="544">
        <f t="shared" si="28"/>
        <v>909.94346662498197</v>
      </c>
      <c r="Q30" s="544">
        <f t="shared" si="29"/>
        <v>2817.3266323166085</v>
      </c>
      <c r="R30" s="544">
        <f t="shared" si="30"/>
        <v>194.55681178207453</v>
      </c>
      <c r="S30" s="544">
        <f t="shared" si="31"/>
        <v>942.12423076121991</v>
      </c>
      <c r="T30" s="544">
        <f t="shared" si="32"/>
        <v>4623.3737405460597</v>
      </c>
      <c r="U30" s="479">
        <f>U29*(1+'Fayette County Statistics'!$L$5)</f>
        <v>16521.485765264548</v>
      </c>
      <c r="V30" s="479">
        <f>V29*(1+'Fayette County Statistics'!$L$5)</f>
        <v>12348.327721591273</v>
      </c>
      <c r="W30" s="479">
        <f>W29*(1+'Fayette County Statistics'!$L$5)</f>
        <v>7023.1495726706262</v>
      </c>
      <c r="X30" s="544">
        <f>X29*(1+'Fayette County Statistics'!$L$5)</f>
        <v>786.59275213911053</v>
      </c>
      <c r="Y30" s="544">
        <f>Y29*(1+'Fayette County Statistics'!$L$5)</f>
        <v>301.9954316248369</v>
      </c>
      <c r="Z30" s="544">
        <f t="shared" si="0"/>
        <v>1088.5881837639474</v>
      </c>
      <c r="AA30" s="544">
        <f>'Bicycle Users'!X30</f>
        <v>280.64505692391805</v>
      </c>
      <c r="AB30" s="479">
        <f>'Bicycle Users'!Y30*10</f>
        <v>0</v>
      </c>
      <c r="AC30" s="479">
        <f>'Bicycle Users'!Z30*10</f>
        <v>999.59987809593599</v>
      </c>
      <c r="AD30" s="479">
        <f>'Bicycle Users'!AA30*10</f>
        <v>5797.5673556183256</v>
      </c>
      <c r="AE30" s="479">
        <f>'Bicycle Users'!AB30*10</f>
        <v>0</v>
      </c>
      <c r="AF30" s="479">
        <f>'Bicycle Users'!AC30*10</f>
        <v>1109.555864686489</v>
      </c>
      <c r="AG30" s="479">
        <f>'Bicycle Users'!AD30*10</f>
        <v>6435.2997647363418</v>
      </c>
      <c r="AH30" s="544">
        <f t="shared" si="33"/>
        <v>1088.5881837639474</v>
      </c>
      <c r="AI30" s="544">
        <f t="shared" si="34"/>
        <v>2088.1880618598834</v>
      </c>
      <c r="AJ30" s="544">
        <f t="shared" si="35"/>
        <v>6886.1555393822728</v>
      </c>
      <c r="AK30" s="544">
        <f t="shared" si="36"/>
        <v>280.64505692391805</v>
      </c>
      <c r="AL30" s="544">
        <f t="shared" si="37"/>
        <v>1390.200921610407</v>
      </c>
      <c r="AM30" s="544">
        <f t="shared" si="38"/>
        <v>6715.9448216602595</v>
      </c>
      <c r="AN30" s="479">
        <f>AN29*(1+'Fayette County Statistics'!$L$5)</f>
        <v>18671.352458810888</v>
      </c>
      <c r="AO30" s="479">
        <f>AO29*(1+'Fayette County Statistics'!$L$6)</f>
        <v>14451.926828772872</v>
      </c>
      <c r="AP30" s="479">
        <f>AP29*(1+'Fayette County Statistics'!$L$6)</f>
        <v>8632.929033804583</v>
      </c>
      <c r="AQ30" s="544">
        <f>AQ29*(1+'Fayette County Statistics'!$L$6)</f>
        <v>794.22947111002179</v>
      </c>
      <c r="AR30" s="544">
        <f>AR29*(1+'Fayette County Statistics'!$L$6)</f>
        <v>405.74766458881538</v>
      </c>
      <c r="AS30" s="544">
        <f t="shared" si="1"/>
        <v>1199.9771356988372</v>
      </c>
      <c r="AT30" s="544">
        <f t="shared" si="72"/>
        <v>467.99108292254635</v>
      </c>
      <c r="AU30" s="479">
        <f t="shared" si="2"/>
        <v>0</v>
      </c>
      <c r="AV30" s="479">
        <f t="shared" si="3"/>
        <v>297.80313445485876</v>
      </c>
      <c r="AW30" s="479">
        <f t="shared" si="4"/>
        <v>2486.6658323703114</v>
      </c>
      <c r="AX30" s="479">
        <f t="shared" si="4"/>
        <v>0</v>
      </c>
      <c r="AY30" s="479">
        <f t="shared" si="73"/>
        <v>116.14322243739497</v>
      </c>
      <c r="AZ30" s="479">
        <f t="shared" si="74"/>
        <v>969.79967462442119</v>
      </c>
      <c r="BA30" s="544">
        <f t="shared" si="5"/>
        <v>1199.9771356988372</v>
      </c>
      <c r="BB30" s="544">
        <f t="shared" si="6"/>
        <v>1497.7802701536959</v>
      </c>
      <c r="BC30" s="544">
        <f t="shared" si="7"/>
        <v>3686.6429680691485</v>
      </c>
      <c r="BD30" s="544">
        <f t="shared" si="75"/>
        <v>467.99108292254635</v>
      </c>
      <c r="BE30" s="544">
        <f t="shared" si="75"/>
        <v>584.13430535994132</v>
      </c>
      <c r="BF30" s="544">
        <f t="shared" si="75"/>
        <v>1437.7907575469676</v>
      </c>
      <c r="BG30" s="479">
        <f t="shared" si="8"/>
        <v>21961.780956682891</v>
      </c>
      <c r="BH30" s="479">
        <f t="shared" si="9"/>
        <v>16991.511600023863</v>
      </c>
      <c r="BI30" s="479">
        <f t="shared" si="10"/>
        <v>9675.955841856261</v>
      </c>
      <c r="BJ30" s="544">
        <f t="shared" si="11"/>
        <v>1173.9024674402131</v>
      </c>
      <c r="BK30" s="544">
        <f t="shared" si="12"/>
        <v>437.28855135330434</v>
      </c>
      <c r="BL30" s="544">
        <f t="shared" si="13"/>
        <v>1611.1910187935175</v>
      </c>
      <c r="BM30" s="544">
        <f t="shared" si="14"/>
        <v>475.20186870599258</v>
      </c>
      <c r="BN30" s="479">
        <f t="shared" si="39"/>
        <v>0</v>
      </c>
      <c r="BO30" s="479">
        <f t="shared" si="15"/>
        <v>1386.9405096913479</v>
      </c>
      <c r="BP30" s="479">
        <f t="shared" si="16"/>
        <v>8092.2911529053636</v>
      </c>
      <c r="BQ30" s="479">
        <f t="shared" si="17"/>
        <v>0</v>
      </c>
      <c r="BR30" s="479">
        <f t="shared" si="18"/>
        <v>1857.1232836656345</v>
      </c>
      <c r="BS30" s="479">
        <f t="shared" si="19"/>
        <v>10864.116693500328</v>
      </c>
      <c r="BT30" s="544">
        <f t="shared" si="20"/>
        <v>1611.1910187935175</v>
      </c>
      <c r="BU30" s="544">
        <f t="shared" si="21"/>
        <v>2998.1315284848652</v>
      </c>
      <c r="BV30" s="544">
        <f t="shared" si="22"/>
        <v>9703.4821716988808</v>
      </c>
      <c r="BW30" s="544">
        <f t="shared" si="23"/>
        <v>475.20186870599258</v>
      </c>
      <c r="BX30" s="544">
        <f t="shared" si="24"/>
        <v>2332.3251523716272</v>
      </c>
      <c r="BY30" s="544">
        <f t="shared" si="25"/>
        <v>11339.318562206319</v>
      </c>
      <c r="CB30" s="491"/>
      <c r="CC30" s="491"/>
    </row>
    <row r="31" spans="1:81" x14ac:dyDescent="0.25">
      <c r="A31" s="486">
        <v>2042</v>
      </c>
      <c r="B31" s="479">
        <f>B30*(1+'Fayette County Statistics'!$L$5)</f>
        <v>5501.2284882717167</v>
      </c>
      <c r="C31" s="479">
        <f>C30*(1+'Fayette County Statistics'!$L$5)</f>
        <v>4695.1892369020397</v>
      </c>
      <c r="D31" s="479">
        <f>D30*(1+'Fayette County Statistics'!$L$5)</f>
        <v>2682.5186701137609</v>
      </c>
      <c r="E31" s="544">
        <f>E30*(1+'Fayette County Statistics'!$L$5)</f>
        <v>391.64772583660897</v>
      </c>
      <c r="F31" s="544">
        <f>F30*(1+'Fayette County Statistics'!$L$5)</f>
        <v>136.80845217580182</v>
      </c>
      <c r="G31" s="544">
        <f t="shared" si="26"/>
        <v>528.45617801241076</v>
      </c>
      <c r="H31" s="544">
        <f>'Bicycle Users'!G31</f>
        <v>196.73591926614327</v>
      </c>
      <c r="I31" s="479">
        <f>'Bicycle Users'!H31*10</f>
        <v>0</v>
      </c>
      <c r="J31" s="479">
        <f>'Bicycle Users'!I31*10</f>
        <v>391.67898840472742</v>
      </c>
      <c r="K31" s="479">
        <f>'Bicycle Users'!J31*10</f>
        <v>2320.4255435005807</v>
      </c>
      <c r="L31" s="479">
        <f>'Bicycle Users'!K31*10</f>
        <v>0</v>
      </c>
      <c r="M31" s="479">
        <f>'Bicycle Users'!L31*10</f>
        <v>755.94044762112412</v>
      </c>
      <c r="N31" s="479">
        <f>'Bicycle Users'!M31*10</f>
        <v>4478.421298956122</v>
      </c>
      <c r="O31" s="544">
        <f t="shared" si="27"/>
        <v>528.45617801241076</v>
      </c>
      <c r="P31" s="544">
        <f t="shared" si="28"/>
        <v>920.13516641713818</v>
      </c>
      <c r="Q31" s="544">
        <f t="shared" si="29"/>
        <v>2848.8817215129916</v>
      </c>
      <c r="R31" s="544">
        <f t="shared" si="30"/>
        <v>196.73591926614327</v>
      </c>
      <c r="S31" s="544">
        <f t="shared" si="31"/>
        <v>952.67636688726736</v>
      </c>
      <c r="T31" s="544">
        <f t="shared" si="32"/>
        <v>4675.1572182222653</v>
      </c>
      <c r="U31" s="479">
        <f>U30*(1+'Fayette County Statistics'!$L$5)</f>
        <v>16706.532451367471</v>
      </c>
      <c r="V31" s="479">
        <f>V30*(1+'Fayette County Statistics'!$L$5)</f>
        <v>12486.633510565618</v>
      </c>
      <c r="W31" s="479">
        <f>W30*(1+'Fayette County Statistics'!$L$5)</f>
        <v>7101.8114177911302</v>
      </c>
      <c r="X31" s="544">
        <f>X30*(1+'Fayette County Statistics'!$L$5)</f>
        <v>795.402878792607</v>
      </c>
      <c r="Y31" s="544">
        <f>Y30*(1+'Fayette County Statistics'!$L$5)</f>
        <v>305.37789096501859</v>
      </c>
      <c r="Z31" s="544">
        <f t="shared" si="0"/>
        <v>1100.7807697576256</v>
      </c>
      <c r="AA31" s="544">
        <f>'Bicycle Users'!X31</f>
        <v>283.78838425493342</v>
      </c>
      <c r="AB31" s="479">
        <f>'Bicycle Users'!Y31*10</f>
        <v>0</v>
      </c>
      <c r="AC31" s="479">
        <f>'Bicycle Users'!Z31*10</f>
        <v>1010.7957625035863</v>
      </c>
      <c r="AD31" s="479">
        <f>'Bicycle Users'!AA31*10</f>
        <v>5862.5022314435491</v>
      </c>
      <c r="AE31" s="479">
        <f>'Bicycle Users'!AB31*10</f>
        <v>0</v>
      </c>
      <c r="AF31" s="479">
        <f>'Bicycle Users'!AC31*10</f>
        <v>1121.9832963789804</v>
      </c>
      <c r="AG31" s="479">
        <f>'Bicycle Users'!AD31*10</f>
        <v>6507.3774769023385</v>
      </c>
      <c r="AH31" s="544">
        <f t="shared" si="33"/>
        <v>1100.7807697576256</v>
      </c>
      <c r="AI31" s="544">
        <f t="shared" si="34"/>
        <v>2111.5765322612119</v>
      </c>
      <c r="AJ31" s="544">
        <f t="shared" si="35"/>
        <v>6963.2830012011746</v>
      </c>
      <c r="AK31" s="544">
        <f t="shared" si="36"/>
        <v>283.78838425493342</v>
      </c>
      <c r="AL31" s="544">
        <f t="shared" si="37"/>
        <v>1405.7716806339138</v>
      </c>
      <c r="AM31" s="544">
        <f t="shared" si="38"/>
        <v>6791.165861157272</v>
      </c>
      <c r="AN31" s="479">
        <f>AN30*(1+'Fayette County Statistics'!$L$5)</f>
        <v>18880.478438559436</v>
      </c>
      <c r="AO31" s="479">
        <f>AO30*(1+'Fayette County Statistics'!$L$6)</f>
        <v>14621.255155180919</v>
      </c>
      <c r="AP31" s="479">
        <f>AP30*(1+'Fayette County Statistics'!$L$6)</f>
        <v>8734.0781361085901</v>
      </c>
      <c r="AQ31" s="544">
        <f>AQ30*(1+'Fayette County Statistics'!$L$6)</f>
        <v>803.53518852199045</v>
      </c>
      <c r="AR31" s="544">
        <f>AR30*(1+'Fayette County Statistics'!$L$6)</f>
        <v>410.50167239710373</v>
      </c>
      <c r="AS31" s="544">
        <f t="shared" si="1"/>
        <v>1214.0368609190941</v>
      </c>
      <c r="AT31" s="544">
        <f t="shared" si="72"/>
        <v>473.47437575844657</v>
      </c>
      <c r="AU31" s="479">
        <f t="shared" si="2"/>
        <v>0</v>
      </c>
      <c r="AV31" s="479">
        <f t="shared" si="3"/>
        <v>301.29239280454249</v>
      </c>
      <c r="AW31" s="479">
        <f t="shared" si="4"/>
        <v>2515.8012527692736</v>
      </c>
      <c r="AX31" s="479">
        <f t="shared" si="4"/>
        <v>0</v>
      </c>
      <c r="AY31" s="479">
        <f t="shared" si="73"/>
        <v>117.50403319377159</v>
      </c>
      <c r="AZ31" s="479">
        <f t="shared" si="74"/>
        <v>981.16248858001654</v>
      </c>
      <c r="BA31" s="544">
        <f t="shared" si="5"/>
        <v>1214.0368609190941</v>
      </c>
      <c r="BB31" s="544">
        <f t="shared" si="6"/>
        <v>1515.3292537236366</v>
      </c>
      <c r="BC31" s="544">
        <f t="shared" si="7"/>
        <v>3729.8381136883677</v>
      </c>
      <c r="BD31" s="544">
        <f t="shared" si="75"/>
        <v>473.47437575844657</v>
      </c>
      <c r="BE31" s="544">
        <f t="shared" si="75"/>
        <v>590.97840895221816</v>
      </c>
      <c r="BF31" s="544">
        <f t="shared" si="75"/>
        <v>1454.6368643384631</v>
      </c>
      <c r="BG31" s="479">
        <f t="shared" si="8"/>
        <v>22207.760939639189</v>
      </c>
      <c r="BH31" s="479">
        <f t="shared" si="9"/>
        <v>17181.822747467657</v>
      </c>
      <c r="BI31" s="479">
        <f t="shared" si="10"/>
        <v>9784.3300879048911</v>
      </c>
      <c r="BJ31" s="544">
        <f t="shared" si="11"/>
        <v>1187.050604629216</v>
      </c>
      <c r="BK31" s="544">
        <f t="shared" si="12"/>
        <v>442.18634314082044</v>
      </c>
      <c r="BL31" s="544">
        <f t="shared" si="13"/>
        <v>1629.2369477700363</v>
      </c>
      <c r="BM31" s="544">
        <f t="shared" si="14"/>
        <v>480.52430352107672</v>
      </c>
      <c r="BN31" s="479">
        <f t="shared" si="39"/>
        <v>0</v>
      </c>
      <c r="BO31" s="479">
        <f t="shared" si="15"/>
        <v>1402.4747509083136</v>
      </c>
      <c r="BP31" s="479">
        <f t="shared" si="16"/>
        <v>8182.9277749441299</v>
      </c>
      <c r="BQ31" s="479">
        <f t="shared" si="17"/>
        <v>0</v>
      </c>
      <c r="BR31" s="479">
        <f t="shared" si="18"/>
        <v>1877.9237440001045</v>
      </c>
      <c r="BS31" s="479">
        <f t="shared" si="19"/>
        <v>10985.79877585846</v>
      </c>
      <c r="BT31" s="544">
        <f t="shared" si="20"/>
        <v>1629.2369477700363</v>
      </c>
      <c r="BU31" s="544">
        <f t="shared" si="21"/>
        <v>3031.7116986783503</v>
      </c>
      <c r="BV31" s="544">
        <f t="shared" si="22"/>
        <v>9812.1647227141657</v>
      </c>
      <c r="BW31" s="544">
        <f t="shared" si="23"/>
        <v>480.52430352107672</v>
      </c>
      <c r="BX31" s="544">
        <f t="shared" si="24"/>
        <v>2358.4480475211813</v>
      </c>
      <c r="BY31" s="544">
        <f t="shared" si="25"/>
        <v>11466.323079379537</v>
      </c>
      <c r="CB31" s="491"/>
      <c r="CC31" s="491"/>
    </row>
    <row r="32" spans="1:81" x14ac:dyDescent="0.25">
      <c r="A32" s="486">
        <v>2043</v>
      </c>
      <c r="B32" s="479">
        <f>B31*(1+'Fayette County Statistics'!$L$5)</f>
        <v>5562.8442603465219</v>
      </c>
      <c r="C32" s="479">
        <f>C31*(1+'Fayette County Statistics'!$L$5)</f>
        <v>4747.7770744161144</v>
      </c>
      <c r="D32" s="479">
        <f>D31*(1+'Fayette County Statistics'!$L$5)</f>
        <v>2712.5638608046252</v>
      </c>
      <c r="E32" s="544">
        <f>E31*(1+'Fayette County Statistics'!$L$5)</f>
        <v>396.03432367747513</v>
      </c>
      <c r="F32" s="544">
        <f>F31*(1+'Fayette County Statistics'!$L$5)</f>
        <v>138.34075690103589</v>
      </c>
      <c r="G32" s="544">
        <f t="shared" si="26"/>
        <v>534.37508057851096</v>
      </c>
      <c r="H32" s="544">
        <f>'Bicycle Users'!G32</f>
        <v>198.93943355141124</v>
      </c>
      <c r="I32" s="479">
        <f>'Bicycle Users'!H32*10</f>
        <v>0</v>
      </c>
      <c r="J32" s="479">
        <f>'Bicycle Users'!I32*10</f>
        <v>396.06593639779618</v>
      </c>
      <c r="K32" s="479">
        <f>'Bicycle Users'!J32*10</f>
        <v>2346.415158676482</v>
      </c>
      <c r="L32" s="479">
        <f>'Bicycle Users'!K32*10</f>
        <v>0</v>
      </c>
      <c r="M32" s="479">
        <f>'Bicycle Users'!L32*10</f>
        <v>764.40725724774666</v>
      </c>
      <c r="N32" s="479">
        <f>'Bicycle Users'!M32*10</f>
        <v>4528.5812562456103</v>
      </c>
      <c r="O32" s="544">
        <f t="shared" si="27"/>
        <v>534.37508057851096</v>
      </c>
      <c r="P32" s="544">
        <f t="shared" si="28"/>
        <v>930.44101697630708</v>
      </c>
      <c r="Q32" s="544">
        <f t="shared" si="29"/>
        <v>2880.7902392549931</v>
      </c>
      <c r="R32" s="544">
        <f t="shared" si="30"/>
        <v>198.93943355141124</v>
      </c>
      <c r="S32" s="544">
        <f t="shared" si="31"/>
        <v>963.34669079915784</v>
      </c>
      <c r="T32" s="544">
        <f t="shared" si="32"/>
        <v>4727.520689797022</v>
      </c>
      <c r="U32" s="479">
        <f>U31*(1+'Fayette County Statistics'!$L$5)</f>
        <v>16893.651728066918</v>
      </c>
      <c r="V32" s="479">
        <f>V31*(1+'Fayette County Statistics'!$L$5)</f>
        <v>12626.488374985245</v>
      </c>
      <c r="W32" s="479">
        <f>W31*(1+'Fayette County Statistics'!$L$5)</f>
        <v>7181.3543043608788</v>
      </c>
      <c r="X32" s="544">
        <f>X31*(1+'Fayette County Statistics'!$L$5)</f>
        <v>804.31168208841882</v>
      </c>
      <c r="Y32" s="544">
        <f>Y31*(1+'Fayette County Statistics'!$L$5)</f>
        <v>308.79823508751775</v>
      </c>
      <c r="Z32" s="544">
        <f t="shared" si="0"/>
        <v>1113.1099171759365</v>
      </c>
      <c r="AA32" s="544">
        <f>'Bicycle Users'!X32</f>
        <v>286.96691800226057</v>
      </c>
      <c r="AB32" s="479">
        <f>'Bicycle Users'!Y32*10</f>
        <v>0</v>
      </c>
      <c r="AC32" s="479">
        <f>'Bicycle Users'!Z32*10</f>
        <v>1022.1170449133928</v>
      </c>
      <c r="AD32" s="479">
        <f>'Bicycle Users'!AA32*10</f>
        <v>5928.1644016389455</v>
      </c>
      <c r="AE32" s="479">
        <f>'Bicycle Users'!AB32*10</f>
        <v>0</v>
      </c>
      <c r="AF32" s="479">
        <f>'Bicycle Users'!AC32*10</f>
        <v>1134.549919853866</v>
      </c>
      <c r="AG32" s="479">
        <f>'Bicycle Users'!AD32*10</f>
        <v>6580.2624858192285</v>
      </c>
      <c r="AH32" s="544">
        <f t="shared" si="33"/>
        <v>1113.1099171759365</v>
      </c>
      <c r="AI32" s="544">
        <f t="shared" si="34"/>
        <v>2135.2269620893294</v>
      </c>
      <c r="AJ32" s="544">
        <f t="shared" si="35"/>
        <v>7041.2743188148816</v>
      </c>
      <c r="AK32" s="544">
        <f t="shared" si="36"/>
        <v>286.96691800226057</v>
      </c>
      <c r="AL32" s="544">
        <f t="shared" si="37"/>
        <v>1421.5168378561266</v>
      </c>
      <c r="AM32" s="544">
        <f t="shared" si="38"/>
        <v>6867.2294038214886</v>
      </c>
      <c r="AN32" s="479">
        <f>AN31*(1+'Fayette County Statistics'!$L$5)</f>
        <v>19091.946705804417</v>
      </c>
      <c r="AO32" s="479">
        <f>AO31*(1+'Fayette County Statistics'!$L$6)</f>
        <v>14792.567444174985</v>
      </c>
      <c r="AP32" s="479">
        <f>AP31*(1+'Fayette County Statistics'!$L$6)</f>
        <v>8836.4123681474575</v>
      </c>
      <c r="AQ32" s="544">
        <f>AQ31*(1+'Fayette County Statistics'!$L$6)</f>
        <v>812.94993786956627</v>
      </c>
      <c r="AR32" s="544">
        <f>AR31*(1+'Fayette County Statistics'!$L$6)</f>
        <v>415.31138130293056</v>
      </c>
      <c r="AS32" s="544">
        <f t="shared" si="1"/>
        <v>1228.2613191724968</v>
      </c>
      <c r="AT32" s="544">
        <f t="shared" si="72"/>
        <v>479.02191447727364</v>
      </c>
      <c r="AU32" s="479">
        <f t="shared" si="2"/>
        <v>0</v>
      </c>
      <c r="AV32" s="479">
        <f t="shared" si="3"/>
        <v>304.82253361119933</v>
      </c>
      <c r="AW32" s="479">
        <f t="shared" si="4"/>
        <v>2545.2780430100433</v>
      </c>
      <c r="AX32" s="479">
        <f t="shared" si="4"/>
        <v>0</v>
      </c>
      <c r="AY32" s="479">
        <f t="shared" si="73"/>
        <v>118.88078810836771</v>
      </c>
      <c r="AZ32" s="479">
        <f t="shared" si="74"/>
        <v>992.65843677391672</v>
      </c>
      <c r="BA32" s="544">
        <f t="shared" si="5"/>
        <v>1228.2613191724968</v>
      </c>
      <c r="BB32" s="544">
        <f t="shared" si="6"/>
        <v>1533.0838527836961</v>
      </c>
      <c r="BC32" s="544">
        <f t="shared" si="7"/>
        <v>3773.5393621825401</v>
      </c>
      <c r="BD32" s="544">
        <f t="shared" si="75"/>
        <v>479.02191447727364</v>
      </c>
      <c r="BE32" s="544">
        <f t="shared" si="75"/>
        <v>597.90270258564135</v>
      </c>
      <c r="BF32" s="544">
        <f t="shared" si="75"/>
        <v>1471.6803512511904</v>
      </c>
      <c r="BG32" s="479">
        <f t="shared" si="8"/>
        <v>22456.495988413441</v>
      </c>
      <c r="BH32" s="479">
        <f t="shared" si="9"/>
        <v>17374.265449401359</v>
      </c>
      <c r="BI32" s="479">
        <f t="shared" si="10"/>
        <v>9893.9181651655035</v>
      </c>
      <c r="BJ32" s="544">
        <f t="shared" si="11"/>
        <v>1200.346005765894</v>
      </c>
      <c r="BK32" s="544">
        <f t="shared" si="12"/>
        <v>447.13899198855364</v>
      </c>
      <c r="BL32" s="544">
        <f t="shared" si="13"/>
        <v>1647.4849977544475</v>
      </c>
      <c r="BM32" s="544">
        <f t="shared" si="14"/>
        <v>485.90635155367181</v>
      </c>
      <c r="BN32" s="479">
        <f t="shared" si="39"/>
        <v>0</v>
      </c>
      <c r="BO32" s="479">
        <f t="shared" si="15"/>
        <v>1418.182981311189</v>
      </c>
      <c r="BP32" s="479">
        <f t="shared" si="16"/>
        <v>8274.5795603154274</v>
      </c>
      <c r="BQ32" s="479">
        <f t="shared" si="17"/>
        <v>0</v>
      </c>
      <c r="BR32" s="479">
        <f t="shared" si="18"/>
        <v>1898.9571771016126</v>
      </c>
      <c r="BS32" s="479">
        <f t="shared" si="19"/>
        <v>11108.843742064839</v>
      </c>
      <c r="BT32" s="544">
        <f t="shared" si="20"/>
        <v>1647.4849977544475</v>
      </c>
      <c r="BU32" s="544">
        <f t="shared" si="21"/>
        <v>3065.6679790656362</v>
      </c>
      <c r="BV32" s="544">
        <f t="shared" si="22"/>
        <v>9922.0645580698747</v>
      </c>
      <c r="BW32" s="544">
        <f t="shared" si="23"/>
        <v>485.90635155367181</v>
      </c>
      <c r="BX32" s="544">
        <f t="shared" si="24"/>
        <v>2384.8635286552844</v>
      </c>
      <c r="BY32" s="544">
        <f t="shared" si="25"/>
        <v>11594.75009361851</v>
      </c>
      <c r="CB32" s="491"/>
      <c r="CC32" s="491"/>
    </row>
    <row r="33" spans="1:81" x14ac:dyDescent="0.25">
      <c r="A33" s="486">
        <v>2044</v>
      </c>
      <c r="B33" s="479">
        <f>B32*(1+'Fayette County Statistics'!$L$5)</f>
        <v>5625.1501516149701</v>
      </c>
      <c r="C33" s="479">
        <f>C32*(1+'Fayette County Statistics'!$L$5)</f>
        <v>4800.9539149532566</v>
      </c>
      <c r="D33" s="479">
        <f>D32*(1+'Fayette County Statistics'!$L$5)</f>
        <v>2742.945568625345</v>
      </c>
      <c r="E33" s="544">
        <f>E32*(1+'Fayette County Statistics'!$L$5)</f>
        <v>400.47005301930022</v>
      </c>
      <c r="F33" s="544">
        <f>F32*(1+'Fayette County Statistics'!$L$5)</f>
        <v>139.89022399989258</v>
      </c>
      <c r="G33" s="544">
        <f t="shared" si="26"/>
        <v>540.36027701919284</v>
      </c>
      <c r="H33" s="544">
        <f>'Bicycle Users'!G33</f>
        <v>201.16762800298284</v>
      </c>
      <c r="I33" s="479">
        <f>'Bicycle Users'!H33*10</f>
        <v>0</v>
      </c>
      <c r="J33" s="479">
        <f>'Bicycle Users'!I33*10</f>
        <v>400.50201981365649</v>
      </c>
      <c r="K33" s="479">
        <f>'Bicycle Users'!J33*10</f>
        <v>2372.6958670524577</v>
      </c>
      <c r="L33" s="479">
        <f>'Bicycle Users'!K33*10</f>
        <v>0</v>
      </c>
      <c r="M33" s="479">
        <f>'Bicycle Users'!L33*10</f>
        <v>772.96889824035702</v>
      </c>
      <c r="N33" s="479">
        <f>'Bicycle Users'!M33*10</f>
        <v>4579.3030234112439</v>
      </c>
      <c r="O33" s="544">
        <f t="shared" si="27"/>
        <v>540.36027701919284</v>
      </c>
      <c r="P33" s="544">
        <f t="shared" si="28"/>
        <v>940.86229683284932</v>
      </c>
      <c r="Q33" s="544">
        <f t="shared" si="29"/>
        <v>2913.0561440716506</v>
      </c>
      <c r="R33" s="544">
        <f t="shared" si="30"/>
        <v>201.16762800298284</v>
      </c>
      <c r="S33" s="544">
        <f t="shared" si="31"/>
        <v>974.13652624333986</v>
      </c>
      <c r="T33" s="544">
        <f t="shared" si="32"/>
        <v>4780.4706514142272</v>
      </c>
      <c r="U33" s="479">
        <f>U32*(1+'Fayette County Statistics'!$L$5)</f>
        <v>17082.866809135969</v>
      </c>
      <c r="V33" s="479">
        <f>V32*(1+'Fayette County Statistics'!$L$5)</f>
        <v>12767.909665061979</v>
      </c>
      <c r="W33" s="479">
        <f>W32*(1+'Fayette County Statistics'!$L$5)</f>
        <v>7261.7881003664925</v>
      </c>
      <c r="X33" s="544">
        <f>X32*(1+'Fayette County Statistics'!$L$5)</f>
        <v>813.32026724104753</v>
      </c>
      <c r="Y33" s="544">
        <f>Y32*(1+'Fayette County Statistics'!$L$5)</f>
        <v>312.25688831575917</v>
      </c>
      <c r="Z33" s="544">
        <f t="shared" si="0"/>
        <v>1125.5771555568067</v>
      </c>
      <c r="AA33" s="544">
        <f>'Bicycle Users'!X33</f>
        <v>290.1810524906449</v>
      </c>
      <c r="AB33" s="479">
        <f>'Bicycle Users'!Y33*10</f>
        <v>0</v>
      </c>
      <c r="AC33" s="479">
        <f>'Bicycle Users'!Z33*10</f>
        <v>1033.5651298288662</v>
      </c>
      <c r="AD33" s="479">
        <f>'Bicycle Users'!AA33*10</f>
        <v>5994.5620121675911</v>
      </c>
      <c r="AE33" s="479">
        <f>'Bicycle Users'!AB33*10</f>
        <v>0</v>
      </c>
      <c r="AF33" s="479">
        <f>'Bicycle Users'!AC33*10</f>
        <v>1147.2572941100411</v>
      </c>
      <c r="AG33" s="479">
        <f>'Bicycle Users'!AD33*10</f>
        <v>6653.9638335060245</v>
      </c>
      <c r="AH33" s="544">
        <f t="shared" si="33"/>
        <v>1125.5771555568067</v>
      </c>
      <c r="AI33" s="544">
        <f t="shared" si="34"/>
        <v>2159.1422853856729</v>
      </c>
      <c r="AJ33" s="544">
        <f t="shared" si="35"/>
        <v>7120.1391677243973</v>
      </c>
      <c r="AK33" s="544">
        <f t="shared" si="36"/>
        <v>290.1810524906449</v>
      </c>
      <c r="AL33" s="544">
        <f t="shared" si="37"/>
        <v>1437.4383466006861</v>
      </c>
      <c r="AM33" s="544">
        <f t="shared" si="38"/>
        <v>6944.1448859966695</v>
      </c>
      <c r="AN33" s="479">
        <f>AN32*(1+'Fayette County Statistics'!$L$5)</f>
        <v>19305.783495022883</v>
      </c>
      <c r="AO33" s="479">
        <f>AO32*(1+'Fayette County Statistics'!$L$6)</f>
        <v>14965.886941171982</v>
      </c>
      <c r="AP33" s="479">
        <f>AP32*(1+'Fayette County Statistics'!$L$6)</f>
        <v>8939.9456156844462</v>
      </c>
      <c r="AQ33" s="544">
        <f>AQ32*(1+'Fayette County Statistics'!$L$6)</f>
        <v>822.47499664296913</v>
      </c>
      <c r="AR33" s="544">
        <f>AR32*(1+'Fayette County Statistics'!$L$6)</f>
        <v>420.17744393716902</v>
      </c>
      <c r="AS33" s="544">
        <f t="shared" si="1"/>
        <v>1242.6524405801381</v>
      </c>
      <c r="AT33" s="544">
        <f t="shared" si="72"/>
        <v>484.63445182625372</v>
      </c>
      <c r="AU33" s="479">
        <f t="shared" si="2"/>
        <v>0</v>
      </c>
      <c r="AV33" s="479">
        <f t="shared" si="3"/>
        <v>308.39403588071536</v>
      </c>
      <c r="AW33" s="479">
        <f t="shared" si="4"/>
        <v>2575.1002028073081</v>
      </c>
      <c r="AX33" s="479">
        <f t="shared" si="4"/>
        <v>0</v>
      </c>
      <c r="AY33" s="479">
        <f t="shared" si="73"/>
        <v>120.27367399347901</v>
      </c>
      <c r="AZ33" s="479">
        <f t="shared" si="74"/>
        <v>1004.2890790948497</v>
      </c>
      <c r="BA33" s="544">
        <f t="shared" si="5"/>
        <v>1242.6524405801381</v>
      </c>
      <c r="BB33" s="544">
        <f t="shared" si="6"/>
        <v>1551.0464764608535</v>
      </c>
      <c r="BC33" s="544">
        <f t="shared" si="7"/>
        <v>3817.7526433874459</v>
      </c>
      <c r="BD33" s="544">
        <f t="shared" si="75"/>
        <v>484.63445182625372</v>
      </c>
      <c r="BE33" s="544">
        <f t="shared" si="75"/>
        <v>604.90812581973273</v>
      </c>
      <c r="BF33" s="544">
        <f t="shared" si="75"/>
        <v>1488.9235309211035</v>
      </c>
      <c r="BG33" s="479">
        <f t="shared" si="8"/>
        <v>22708.016960750938</v>
      </c>
      <c r="BH33" s="479">
        <f t="shared" si="9"/>
        <v>17568.863580015237</v>
      </c>
      <c r="BI33" s="479">
        <f t="shared" si="10"/>
        <v>10004.733668991837</v>
      </c>
      <c r="BJ33" s="544">
        <f t="shared" si="11"/>
        <v>1213.7903202603477</v>
      </c>
      <c r="BK33" s="544">
        <f t="shared" si="12"/>
        <v>452.14711231565173</v>
      </c>
      <c r="BL33" s="544">
        <f t="shared" si="13"/>
        <v>1665.9374325759995</v>
      </c>
      <c r="BM33" s="544">
        <f t="shared" si="14"/>
        <v>491.34868049362774</v>
      </c>
      <c r="BN33" s="479">
        <f t="shared" si="39"/>
        <v>0</v>
      </c>
      <c r="BO33" s="479">
        <f t="shared" si="15"/>
        <v>1434.0671496425227</v>
      </c>
      <c r="BP33" s="479">
        <f t="shared" si="16"/>
        <v>8367.2578792200493</v>
      </c>
      <c r="BQ33" s="479">
        <f t="shared" si="17"/>
        <v>0</v>
      </c>
      <c r="BR33" s="479">
        <f t="shared" si="18"/>
        <v>1920.2261923503982</v>
      </c>
      <c r="BS33" s="479">
        <f t="shared" si="19"/>
        <v>11233.266856917267</v>
      </c>
      <c r="BT33" s="544">
        <f t="shared" si="20"/>
        <v>1665.9374325759995</v>
      </c>
      <c r="BU33" s="544">
        <f t="shared" si="21"/>
        <v>3100.004582218522</v>
      </c>
      <c r="BV33" s="544">
        <f t="shared" si="22"/>
        <v>10033.195311796047</v>
      </c>
      <c r="BW33" s="544">
        <f t="shared" si="23"/>
        <v>491.34868049362774</v>
      </c>
      <c r="BX33" s="544">
        <f t="shared" si="24"/>
        <v>2411.5748728440258</v>
      </c>
      <c r="BY33" s="544">
        <f t="shared" si="25"/>
        <v>11724.615537410897</v>
      </c>
      <c r="CB33" s="491"/>
      <c r="CC33" s="491"/>
    </row>
    <row r="34" spans="1:81" x14ac:dyDescent="0.25">
      <c r="A34" s="486">
        <v>2045</v>
      </c>
      <c r="B34" s="479">
        <f>B33*(1+'Fayette County Statistics'!$L$5)</f>
        <v>5688.1538916645586</v>
      </c>
      <c r="C34" s="479">
        <f>C33*(1+'Fayette County Statistics'!$L$5)</f>
        <v>4854.7263555628515</v>
      </c>
      <c r="D34" s="479">
        <f>D33*(1+'Fayette County Statistics'!$L$5)</f>
        <v>2773.6675626909127</v>
      </c>
      <c r="E34" s="544">
        <f>E33*(1+'Fayette County Statistics'!$L$5)</f>
        <v>404.95546415287311</v>
      </c>
      <c r="F34" s="544">
        <f>F33*(1+'Fayette County Statistics'!$L$5)</f>
        <v>141.45704569723654</v>
      </c>
      <c r="G34" s="544">
        <f t="shared" si="26"/>
        <v>546.4125098501097</v>
      </c>
      <c r="H34" s="544">
        <f>'Bicycle Users'!G34</f>
        <v>203.42077904775155</v>
      </c>
      <c r="I34" s="479">
        <f>'Bicycle Users'!H34*10</f>
        <v>0</v>
      </c>
      <c r="J34" s="479">
        <f>'Bicycle Users'!I34*10</f>
        <v>404.98778898702324</v>
      </c>
      <c r="K34" s="479">
        <f>'Bicycle Users'!J34*10</f>
        <v>2399.2709289788645</v>
      </c>
      <c r="L34" s="479">
        <f>'Bicycle Users'!K34*10</f>
        <v>0</v>
      </c>
      <c r="M34" s="479">
        <f>'Bicycle Users'!L34*10</f>
        <v>781.62643274495485</v>
      </c>
      <c r="N34" s="479">
        <f>'Bicycle Users'!M34*10</f>
        <v>4630.5928929292086</v>
      </c>
      <c r="O34" s="544">
        <f t="shared" si="27"/>
        <v>546.4125098501097</v>
      </c>
      <c r="P34" s="544">
        <f t="shared" si="28"/>
        <v>951.40029883713294</v>
      </c>
      <c r="Q34" s="544">
        <f t="shared" si="29"/>
        <v>2945.6834388289744</v>
      </c>
      <c r="R34" s="544">
        <f t="shared" si="30"/>
        <v>203.42077904775155</v>
      </c>
      <c r="S34" s="544">
        <f t="shared" si="31"/>
        <v>985.04721179270643</v>
      </c>
      <c r="T34" s="544">
        <f t="shared" si="32"/>
        <v>4834.0136719769598</v>
      </c>
      <c r="U34" s="479">
        <f>U33*(1+'Fayette County Statistics'!$L$5)</f>
        <v>17274.201168350461</v>
      </c>
      <c r="V34" s="479">
        <f>V33*(1+'Fayette County Statistics'!$L$5)</f>
        <v>12910.914925336365</v>
      </c>
      <c r="W34" s="479">
        <f>W33*(1+'Fayette County Statistics'!$L$5)</f>
        <v>7343.1227843196548</v>
      </c>
      <c r="X34" s="544">
        <f>X33*(1+'Fayette County Statistics'!$L$5)</f>
        <v>822.42975184380168</v>
      </c>
      <c r="Y34" s="544">
        <f>Y33*(1+'Fayette County Statistics'!$L$5)</f>
        <v>315.75427972574516</v>
      </c>
      <c r="Z34" s="544">
        <f t="shared" si="0"/>
        <v>1138.1840315695467</v>
      </c>
      <c r="AA34" s="544">
        <f>'Bicycle Users'!X34</f>
        <v>293.43118646141323</v>
      </c>
      <c r="AB34" s="479">
        <f>'Bicycle Users'!Y34*10</f>
        <v>0</v>
      </c>
      <c r="AC34" s="479">
        <f>'Bicycle Users'!Z34*10</f>
        <v>1045.1414374844694</v>
      </c>
      <c r="AD34" s="479">
        <f>'Bicycle Users'!AA34*10</f>
        <v>6061.7033002303306</v>
      </c>
      <c r="AE34" s="479">
        <f>'Bicycle Users'!AB34*10</f>
        <v>0</v>
      </c>
      <c r="AF34" s="479">
        <f>'Bicycle Users'!AC34*10</f>
        <v>1160.1069956077613</v>
      </c>
      <c r="AG34" s="479">
        <f>'Bicycle Users'!AD34*10</f>
        <v>6728.4906632556658</v>
      </c>
      <c r="AH34" s="544">
        <f t="shared" si="33"/>
        <v>1138.1840315695467</v>
      </c>
      <c r="AI34" s="544">
        <f t="shared" si="34"/>
        <v>2183.3254690540161</v>
      </c>
      <c r="AJ34" s="544">
        <f t="shared" si="35"/>
        <v>7199.8873317998768</v>
      </c>
      <c r="AK34" s="544">
        <f t="shared" si="36"/>
        <v>293.43118646141323</v>
      </c>
      <c r="AL34" s="544">
        <f t="shared" si="37"/>
        <v>1453.5381820691746</v>
      </c>
      <c r="AM34" s="544">
        <f t="shared" si="38"/>
        <v>7021.9218497170787</v>
      </c>
      <c r="AN34" s="479">
        <f>AN33*(1+'Fayette County Statistics'!$L$5)</f>
        <v>19522.015334527619</v>
      </c>
      <c r="AO34" s="479">
        <f>AO33*(1+'Fayette County Statistics'!$L$6)</f>
        <v>15141.237163947493</v>
      </c>
      <c r="AP34" s="479">
        <f>AP33*(1+'Fayette County Statistics'!$L$6)</f>
        <v>9044.6919271775932</v>
      </c>
      <c r="AQ34" s="544">
        <f>AQ33*(1+'Fayette County Statistics'!$L$6)</f>
        <v>832.11165730033861</v>
      </c>
      <c r="AR34" s="544">
        <f>AR33*(1+'Fayette County Statistics'!$L$6)</f>
        <v>425.10052057734691</v>
      </c>
      <c r="AS34" s="544">
        <f t="shared" si="1"/>
        <v>1257.2121778776855</v>
      </c>
      <c r="AT34" s="544">
        <f t="shared" si="72"/>
        <v>490.31274937229722</v>
      </c>
      <c r="AU34" s="479">
        <f t="shared" si="2"/>
        <v>0</v>
      </c>
      <c r="AV34" s="479">
        <f t="shared" si="3"/>
        <v>312.00738423132702</v>
      </c>
      <c r="AW34" s="479">
        <f t="shared" si="4"/>
        <v>2605.2717787390557</v>
      </c>
      <c r="AX34" s="479">
        <f t="shared" si="4"/>
        <v>0</v>
      </c>
      <c r="AY34" s="479">
        <f t="shared" si="73"/>
        <v>121.68287985021749</v>
      </c>
      <c r="AZ34" s="479">
        <f t="shared" si="74"/>
        <v>1016.0559937082314</v>
      </c>
      <c r="BA34" s="544">
        <f t="shared" si="5"/>
        <v>1257.2121778776855</v>
      </c>
      <c r="BB34" s="544">
        <f t="shared" si="6"/>
        <v>1569.2195621090125</v>
      </c>
      <c r="BC34" s="544">
        <f t="shared" si="7"/>
        <v>3862.4839566167411</v>
      </c>
      <c r="BD34" s="544">
        <f t="shared" si="75"/>
        <v>490.31274937229722</v>
      </c>
      <c r="BE34" s="544">
        <f t="shared" si="75"/>
        <v>611.99562922251471</v>
      </c>
      <c r="BF34" s="544">
        <f t="shared" si="75"/>
        <v>1506.3687430805287</v>
      </c>
      <c r="BG34" s="479">
        <f t="shared" si="8"/>
        <v>22962.355060015019</v>
      </c>
      <c r="BH34" s="479">
        <f t="shared" si="9"/>
        <v>17765.641280899217</v>
      </c>
      <c r="BI34" s="479">
        <f t="shared" si="10"/>
        <v>10116.790347010567</v>
      </c>
      <c r="BJ34" s="544">
        <f t="shared" si="11"/>
        <v>1227.3852159966748</v>
      </c>
      <c r="BK34" s="544">
        <f t="shared" si="12"/>
        <v>457.2113254229817</v>
      </c>
      <c r="BL34" s="544">
        <f t="shared" si="13"/>
        <v>1684.5965414196564</v>
      </c>
      <c r="BM34" s="544">
        <f t="shared" si="14"/>
        <v>496.85196550916476</v>
      </c>
      <c r="BN34" s="479">
        <f t="shared" si="39"/>
        <v>0</v>
      </c>
      <c r="BO34" s="479">
        <f t="shared" si="15"/>
        <v>1450.1292264714925</v>
      </c>
      <c r="BP34" s="479">
        <f t="shared" si="16"/>
        <v>8460.9742292091942</v>
      </c>
      <c r="BQ34" s="479">
        <f t="shared" si="17"/>
        <v>0</v>
      </c>
      <c r="BR34" s="479">
        <f t="shared" si="18"/>
        <v>1941.7334283527161</v>
      </c>
      <c r="BS34" s="479">
        <f t="shared" si="19"/>
        <v>11359.083556184874</v>
      </c>
      <c r="BT34" s="544">
        <f t="shared" si="20"/>
        <v>1684.5965414196564</v>
      </c>
      <c r="BU34" s="544">
        <f t="shared" si="21"/>
        <v>3134.7257678911492</v>
      </c>
      <c r="BV34" s="544">
        <f t="shared" si="22"/>
        <v>10145.570770628852</v>
      </c>
      <c r="BW34" s="544">
        <f t="shared" si="23"/>
        <v>496.85196550916476</v>
      </c>
      <c r="BX34" s="544">
        <f t="shared" si="24"/>
        <v>2438.5853938618811</v>
      </c>
      <c r="BY34" s="544">
        <f t="shared" si="25"/>
        <v>11855.935521694038</v>
      </c>
      <c r="CB34" s="491"/>
      <c r="CC34" s="491"/>
    </row>
    <row r="35" spans="1:81" x14ac:dyDescent="0.25">
      <c r="A35" s="486">
        <v>2046</v>
      </c>
      <c r="B35" s="479">
        <f>B34*(1+'Fayette County Statistics'!$L$5)</f>
        <v>5751.8632966569921</v>
      </c>
      <c r="C35" s="479">
        <f>C34*(1+'Fayette County Statistics'!$L$5)</f>
        <v>4909.101067183652</v>
      </c>
      <c r="D35" s="479">
        <f>D34*(1+'Fayette County Statistics'!$L$5)</f>
        <v>2804.7336543317879</v>
      </c>
      <c r="E35" s="544">
        <f>E34*(1+'Fayette County Statistics'!$L$5)</f>
        <v>409.49111353244092</v>
      </c>
      <c r="F35" s="544">
        <f>F34*(1+'Fayette County Statistics'!$L$5)</f>
        <v>143.04141637092118</v>
      </c>
      <c r="G35" s="544">
        <f t="shared" si="26"/>
        <v>552.53252990336205</v>
      </c>
      <c r="H35" s="544">
        <f>'Bicycle Users'!G35</f>
        <v>205.69916620869336</v>
      </c>
      <c r="I35" s="479">
        <f>'Bicycle Users'!H35*10</f>
        <v>0</v>
      </c>
      <c r="J35" s="479">
        <f>'Bicycle Users'!I35*10</f>
        <v>409.52380041656181</v>
      </c>
      <c r="K35" s="479">
        <f>'Bicycle Users'!J35*10</f>
        <v>2426.1436413231781</v>
      </c>
      <c r="L35" s="479">
        <f>'Bicycle Users'!K35*10</f>
        <v>0</v>
      </c>
      <c r="M35" s="479">
        <f>'Bicycle Users'!L35*10</f>
        <v>790.38093480396446</v>
      </c>
      <c r="N35" s="479">
        <f>'Bicycle Users'!M35*10</f>
        <v>4682.4572277537345</v>
      </c>
      <c r="O35" s="544">
        <f t="shared" si="27"/>
        <v>552.53252990336205</v>
      </c>
      <c r="P35" s="544">
        <f t="shared" si="28"/>
        <v>962.05633031992386</v>
      </c>
      <c r="Q35" s="544">
        <f t="shared" si="29"/>
        <v>2978.6761712265402</v>
      </c>
      <c r="R35" s="544">
        <f t="shared" si="30"/>
        <v>205.69916620869336</v>
      </c>
      <c r="S35" s="544">
        <f t="shared" si="31"/>
        <v>996.08010101265779</v>
      </c>
      <c r="T35" s="544">
        <f t="shared" si="32"/>
        <v>4888.1563939624275</v>
      </c>
      <c r="U35" s="479">
        <f>U34*(1+'Fayette County Statistics'!$L$5)</f>
        <v>17467.678542401107</v>
      </c>
      <c r="V35" s="479">
        <f>V34*(1+'Fayette County Statistics'!$L$5)</f>
        <v>13055.521896854219</v>
      </c>
      <c r="W35" s="479">
        <f>W34*(1+'Fayette County Statistics'!$L$5)</f>
        <v>7425.3684464950302</v>
      </c>
      <c r="X35" s="544">
        <f>X34*(1+'Fayette County Statistics'!$L$5)</f>
        <v>831.64126600744373</v>
      </c>
      <c r="Y35" s="544">
        <f>Y34*(1+'Fayette County Statistics'!$L$5)</f>
        <v>319.29084319928631</v>
      </c>
      <c r="Z35" s="544">
        <f t="shared" si="0"/>
        <v>1150.93210920673</v>
      </c>
      <c r="AA35" s="544">
        <f>'Bicycle Users'!X35</f>
        <v>296.71772312194122</v>
      </c>
      <c r="AB35" s="479">
        <f>'Bicycle Users'!Y35*10</f>
        <v>0</v>
      </c>
      <c r="AC35" s="479">
        <f>'Bicycle Users'!Z35*10</f>
        <v>1056.8474040218102</v>
      </c>
      <c r="AD35" s="479">
        <f>'Bicycle Users'!AA35*10</f>
        <v>6129.5965952876722</v>
      </c>
      <c r="AE35" s="479">
        <f>'Bicycle Users'!AB35*10</f>
        <v>0</v>
      </c>
      <c r="AF35" s="479">
        <f>'Bicycle Users'!AC35*10</f>
        <v>1173.1006184642092</v>
      </c>
      <c r="AG35" s="479">
        <f>'Bicycle Users'!AD35*10</f>
        <v>6803.852220769315</v>
      </c>
      <c r="AH35" s="544">
        <f t="shared" si="33"/>
        <v>1150.93210920673</v>
      </c>
      <c r="AI35" s="544">
        <f t="shared" si="34"/>
        <v>2207.7795132285401</v>
      </c>
      <c r="AJ35" s="544">
        <f t="shared" si="35"/>
        <v>7280.5287044944025</v>
      </c>
      <c r="AK35" s="544">
        <f t="shared" si="36"/>
        <v>296.71772312194122</v>
      </c>
      <c r="AL35" s="544">
        <f t="shared" si="37"/>
        <v>1469.8183415861504</v>
      </c>
      <c r="AM35" s="544">
        <f t="shared" si="38"/>
        <v>7100.5699438912561</v>
      </c>
      <c r="AN35" s="479">
        <f>AN34*(1+'Fayette County Statistics'!$L$5)</f>
        <v>19740.669049758231</v>
      </c>
      <c r="AO35" s="479">
        <f>AO34*(1+'Fayette County Statistics'!$L$6)</f>
        <v>15318.641905826902</v>
      </c>
      <c r="AP35" s="479">
        <f>AP34*(1+'Fayette County Statistics'!$L$6)</f>
        <v>9150.6655156859579</v>
      </c>
      <c r="AQ35" s="544">
        <f>AQ34*(1+'Fayette County Statistics'!$L$6)</f>
        <v>841.86122744310808</v>
      </c>
      <c r="AR35" s="544">
        <f>AR34*(1+'Fayette County Statistics'!$L$6)</f>
        <v>430.08127923723998</v>
      </c>
      <c r="AS35" s="544">
        <f t="shared" si="1"/>
        <v>1271.9425066803481</v>
      </c>
      <c r="AT35" s="544">
        <f t="shared" si="72"/>
        <v>496.05757760533561</v>
      </c>
      <c r="AU35" s="479">
        <f t="shared" si="2"/>
        <v>0</v>
      </c>
      <c r="AV35" s="479">
        <f t="shared" si="3"/>
        <v>315.66306895937714</v>
      </c>
      <c r="AW35" s="479">
        <f t="shared" si="4"/>
        <v>2635.7968647956577</v>
      </c>
      <c r="AX35" s="479">
        <f t="shared" si="4"/>
        <v>0</v>
      </c>
      <c r="AY35" s="479">
        <f t="shared" si="73"/>
        <v>123.10859689415702</v>
      </c>
      <c r="AZ35" s="479">
        <f t="shared" si="74"/>
        <v>1027.9607772703064</v>
      </c>
      <c r="BA35" s="544">
        <f t="shared" si="5"/>
        <v>1271.9425066803481</v>
      </c>
      <c r="BB35" s="544">
        <f t="shared" si="6"/>
        <v>1587.6055756397252</v>
      </c>
      <c r="BC35" s="544">
        <f t="shared" si="7"/>
        <v>3907.739371476006</v>
      </c>
      <c r="BD35" s="544">
        <f t="shared" si="75"/>
        <v>496.05757760533561</v>
      </c>
      <c r="BE35" s="544">
        <f t="shared" si="75"/>
        <v>619.16617449949263</v>
      </c>
      <c r="BF35" s="544">
        <f t="shared" si="75"/>
        <v>1524.018354875642</v>
      </c>
      <c r="BG35" s="479">
        <f t="shared" si="8"/>
        <v>23219.5418390581</v>
      </c>
      <c r="BH35" s="479">
        <f t="shared" si="9"/>
        <v>17964.622964037873</v>
      </c>
      <c r="BI35" s="479">
        <f t="shared" si="10"/>
        <v>10230.102100826818</v>
      </c>
      <c r="BJ35" s="544">
        <f t="shared" si="11"/>
        <v>1241.1323795398846</v>
      </c>
      <c r="BK35" s="544">
        <f t="shared" si="12"/>
        <v>462.3322595702075</v>
      </c>
      <c r="BL35" s="544">
        <f t="shared" si="13"/>
        <v>1703.4646391100921</v>
      </c>
      <c r="BM35" s="544">
        <f t="shared" si="14"/>
        <v>502.4168893306346</v>
      </c>
      <c r="BN35" s="479">
        <f t="shared" si="39"/>
        <v>0</v>
      </c>
      <c r="BO35" s="479">
        <f t="shared" si="15"/>
        <v>1466.3712044383719</v>
      </c>
      <c r="BP35" s="479">
        <f t="shared" si="16"/>
        <v>8555.7402366108508</v>
      </c>
      <c r="BQ35" s="479">
        <f t="shared" si="17"/>
        <v>0</v>
      </c>
      <c r="BR35" s="479">
        <f t="shared" si="18"/>
        <v>1963.4815532681737</v>
      </c>
      <c r="BS35" s="479">
        <f t="shared" si="19"/>
        <v>11486.30944852305</v>
      </c>
      <c r="BT35" s="544">
        <f t="shared" si="20"/>
        <v>1703.4646391100921</v>
      </c>
      <c r="BU35" s="544">
        <f t="shared" si="21"/>
        <v>3169.8358435484638</v>
      </c>
      <c r="BV35" s="544">
        <f t="shared" si="22"/>
        <v>10259.204875720943</v>
      </c>
      <c r="BW35" s="544">
        <f t="shared" si="23"/>
        <v>502.4168893306346</v>
      </c>
      <c r="BX35" s="544">
        <f t="shared" si="24"/>
        <v>2465.8984425988083</v>
      </c>
      <c r="BY35" s="544">
        <f t="shared" si="25"/>
        <v>11988.726337853685</v>
      </c>
      <c r="CB35" s="491"/>
      <c r="CC35" s="491"/>
    </row>
    <row r="36" spans="1:81" x14ac:dyDescent="0.25">
      <c r="A36" s="486">
        <v>2047</v>
      </c>
      <c r="B36" s="479">
        <f>B35*(1+'Fayette County Statistics'!$L$5)</f>
        <v>5816.2862702978482</v>
      </c>
      <c r="C36" s="479">
        <f>C35*(1+'Fayette County Statistics'!$L$5)</f>
        <v>4964.0847954713672</v>
      </c>
      <c r="D36" s="479">
        <f>D35*(1+'Fayette County Statistics'!$L$5)</f>
        <v>2836.147697566726</v>
      </c>
      <c r="E36" s="544">
        <f>E35*(1+'Fayette County Statistics'!$L$5)</f>
        <v>414.07756384474192</v>
      </c>
      <c r="F36" s="544">
        <f>F35*(1+'Fayette County Statistics'!$L$5)</f>
        <v>144.64353257590304</v>
      </c>
      <c r="G36" s="544">
        <f t="shared" si="26"/>
        <v>558.72109642064493</v>
      </c>
      <c r="H36" s="544">
        <f>'Bicycle Users'!G36</f>
        <v>208.00307213954372</v>
      </c>
      <c r="I36" s="479">
        <f>'Bicycle Users'!H36*10</f>
        <v>0</v>
      </c>
      <c r="J36" s="479">
        <f>'Bicycle Users'!I36*10</f>
        <v>414.11061683392575</v>
      </c>
      <c r="K36" s="479">
        <f>'Bicycle Users'!J36*10</f>
        <v>2453.3173378789938</v>
      </c>
      <c r="L36" s="479">
        <f>'Bicycle Users'!K36*10</f>
        <v>0</v>
      </c>
      <c r="M36" s="479">
        <f>'Bicycle Users'!L36*10</f>
        <v>799.23349048947694</v>
      </c>
      <c r="N36" s="479">
        <f>'Bicycle Users'!M36*10</f>
        <v>4734.9024621064573</v>
      </c>
      <c r="O36" s="544">
        <f t="shared" si="27"/>
        <v>558.72109642064493</v>
      </c>
      <c r="P36" s="544">
        <f t="shared" si="28"/>
        <v>972.83171325457067</v>
      </c>
      <c r="Q36" s="544">
        <f t="shared" si="29"/>
        <v>3012.0384342996385</v>
      </c>
      <c r="R36" s="544">
        <f t="shared" si="30"/>
        <v>208.00307213954372</v>
      </c>
      <c r="S36" s="544">
        <f t="shared" si="31"/>
        <v>1007.2365626290207</v>
      </c>
      <c r="T36" s="544">
        <f t="shared" si="32"/>
        <v>4942.9055342460006</v>
      </c>
      <c r="U36" s="479">
        <f>U35*(1+'Fayette County Statistics'!$L$5)</f>
        <v>17663.322933838241</v>
      </c>
      <c r="V36" s="479">
        <f>V35*(1+'Fayette County Statistics'!$L$5)</f>
        <v>13201.748519367569</v>
      </c>
      <c r="W36" s="479">
        <f>W35*(1+'Fayette County Statistics'!$L$5)</f>
        <v>7508.5352901820524</v>
      </c>
      <c r="X36" s="544">
        <f>X35*(1+'Fayette County Statistics'!$L$5)</f>
        <v>840.95595250039014</v>
      </c>
      <c r="Y36" s="544">
        <f>Y35*(1+'Fayette County Statistics'!$L$5)</f>
        <v>322.86701747782826</v>
      </c>
      <c r="Z36" s="544">
        <f t="shared" si="0"/>
        <v>1163.8229699782185</v>
      </c>
      <c r="AA36" s="544">
        <f>'Bicycle Users'!X36</f>
        <v>300.04107019567459</v>
      </c>
      <c r="AB36" s="479">
        <f>'Bicycle Users'!Y36*10</f>
        <v>0</v>
      </c>
      <c r="AC36" s="479">
        <f>'Bicycle Users'!Z36*10</f>
        <v>1068.6844816678104</v>
      </c>
      <c r="AD36" s="479">
        <f>'Bicycle Users'!AA36*10</f>
        <v>6198.2503200931287</v>
      </c>
      <c r="AE36" s="479">
        <f>'Bicycle Users'!AB36*10</f>
        <v>0</v>
      </c>
      <c r="AF36" s="479">
        <f>'Bicycle Users'!AC36*10</f>
        <v>1186.2397746512693</v>
      </c>
      <c r="AG36" s="479">
        <f>'Bicycle Users'!AD36*10</f>
        <v>6880.057855303372</v>
      </c>
      <c r="AH36" s="544">
        <f t="shared" si="33"/>
        <v>1163.8229699782185</v>
      </c>
      <c r="AI36" s="544">
        <f t="shared" si="34"/>
        <v>2232.507451646029</v>
      </c>
      <c r="AJ36" s="544">
        <f t="shared" si="35"/>
        <v>7362.0732900713474</v>
      </c>
      <c r="AK36" s="544">
        <f t="shared" si="36"/>
        <v>300.04107019567459</v>
      </c>
      <c r="AL36" s="544">
        <f t="shared" si="37"/>
        <v>1486.2808448469439</v>
      </c>
      <c r="AM36" s="544">
        <f t="shared" si="38"/>
        <v>7180.0989254990463</v>
      </c>
      <c r="AN36" s="479">
        <f>AN35*(1+'Fayette County Statistics'!$L$5)</f>
        <v>19961.771766609061</v>
      </c>
      <c r="AO36" s="479">
        <f>AO35*(1+'Fayette County Statistics'!$L$6)</f>
        <v>15498.125238913919</v>
      </c>
      <c r="AP36" s="479">
        <f>AP35*(1+'Fayette County Statistics'!$L$6)</f>
        <v>9257.8807607981907</v>
      </c>
      <c r="AQ36" s="544">
        <f>AQ35*(1+'Fayette County Statistics'!$L$6)</f>
        <v>851.72502999343351</v>
      </c>
      <c r="AR36" s="544">
        <f>AR35*(1+'Fayette County Statistics'!$L$6)</f>
        <v>435.12039575751493</v>
      </c>
      <c r="AS36" s="544">
        <f t="shared" si="1"/>
        <v>1286.8454257509484</v>
      </c>
      <c r="AT36" s="544">
        <f t="shared" si="72"/>
        <v>501.86971604286975</v>
      </c>
      <c r="AU36" s="479">
        <f t="shared" si="2"/>
        <v>0</v>
      </c>
      <c r="AV36" s="479">
        <f t="shared" si="3"/>
        <v>319.36158610584539</v>
      </c>
      <c r="AW36" s="479">
        <f t="shared" si="4"/>
        <v>2666.6796029353804</v>
      </c>
      <c r="AX36" s="479">
        <f t="shared" si="4"/>
        <v>0</v>
      </c>
      <c r="AY36" s="479">
        <f t="shared" si="73"/>
        <v>124.55101858127966</v>
      </c>
      <c r="AZ36" s="479">
        <f t="shared" si="74"/>
        <v>1040.0050451447983</v>
      </c>
      <c r="BA36" s="544">
        <f t="shared" si="5"/>
        <v>1286.8454257509484</v>
      </c>
      <c r="BB36" s="544">
        <f t="shared" si="6"/>
        <v>1606.2070118567938</v>
      </c>
      <c r="BC36" s="544">
        <f t="shared" si="7"/>
        <v>3953.5250286863288</v>
      </c>
      <c r="BD36" s="544">
        <f t="shared" si="75"/>
        <v>501.86971604286975</v>
      </c>
      <c r="BE36" s="544">
        <f t="shared" si="75"/>
        <v>626.42073462414942</v>
      </c>
      <c r="BF36" s="544">
        <f t="shared" si="75"/>
        <v>1541.8747611876679</v>
      </c>
      <c r="BG36" s="479">
        <f t="shared" si="8"/>
        <v>23479.60920413609</v>
      </c>
      <c r="BH36" s="479">
        <f t="shared" si="9"/>
        <v>18165.833314838936</v>
      </c>
      <c r="BI36" s="479">
        <f t="shared" si="10"/>
        <v>10344.682987748778</v>
      </c>
      <c r="BJ36" s="544">
        <f t="shared" si="11"/>
        <v>1255.0335163451321</v>
      </c>
      <c r="BK36" s="544">
        <f t="shared" si="12"/>
        <v>467.51055005373132</v>
      </c>
      <c r="BL36" s="544">
        <f t="shared" si="13"/>
        <v>1722.5440663988634</v>
      </c>
      <c r="BM36" s="544">
        <f t="shared" si="14"/>
        <v>508.04414233521834</v>
      </c>
      <c r="BN36" s="479">
        <f t="shared" si="39"/>
        <v>0</v>
      </c>
      <c r="BO36" s="479">
        <f t="shared" si="15"/>
        <v>1482.795098501736</v>
      </c>
      <c r="BP36" s="479">
        <f t="shared" si="16"/>
        <v>8651.5676579721221</v>
      </c>
      <c r="BQ36" s="479">
        <f t="shared" si="17"/>
        <v>0</v>
      </c>
      <c r="BR36" s="479">
        <f t="shared" si="18"/>
        <v>1985.4732651407462</v>
      </c>
      <c r="BS36" s="479">
        <f t="shared" si="19"/>
        <v>11614.96031740983</v>
      </c>
      <c r="BT36" s="544">
        <f t="shared" si="20"/>
        <v>1722.5440663988634</v>
      </c>
      <c r="BU36" s="544">
        <f t="shared" si="21"/>
        <v>3205.3391649005998</v>
      </c>
      <c r="BV36" s="544">
        <f t="shared" si="22"/>
        <v>10374.111724370985</v>
      </c>
      <c r="BW36" s="544">
        <f t="shared" si="23"/>
        <v>508.04414233521834</v>
      </c>
      <c r="BX36" s="544">
        <f t="shared" si="24"/>
        <v>2493.5174074759643</v>
      </c>
      <c r="BY36" s="544">
        <f t="shared" si="25"/>
        <v>12123.004459745047</v>
      </c>
      <c r="CB36" s="491"/>
      <c r="CC36" s="491"/>
    </row>
    <row r="37" spans="1:81" x14ac:dyDescent="0.25">
      <c r="A37" s="486">
        <v>2048</v>
      </c>
      <c r="B37" s="479">
        <f>B36*(1+'Fayette County Statistics'!$L$5)</f>
        <v>5881.4308048170969</v>
      </c>
      <c r="C37" s="479">
        <f>C36*(1+'Fayette County Statistics'!$L$5)</f>
        <v>5019.6843616355172</v>
      </c>
      <c r="D37" s="479">
        <f>D36*(1+'Fayette County Statistics'!$L$5)</f>
        <v>2867.9135895809031</v>
      </c>
      <c r="E37" s="544">
        <f>E36*(1+'Fayette County Statistics'!$L$5)</f>
        <v>418.71538407881178</v>
      </c>
      <c r="F37" s="544">
        <f>F36*(1+'Fayette County Statistics'!$L$5)</f>
        <v>146.26359306862608</v>
      </c>
      <c r="G37" s="544">
        <f t="shared" ref="G37:G38" si="76">SUM(E37:F37)</f>
        <v>564.97897714743783</v>
      </c>
      <c r="H37" s="544">
        <f>'Bicycle Users'!G37</f>
        <v>210.33278265986348</v>
      </c>
      <c r="I37" s="479">
        <f>'Bicycle Users'!H37*10</f>
        <v>0</v>
      </c>
      <c r="J37" s="479">
        <f>'Bicycle Users'!I37*10</f>
        <v>418.74880727356935</v>
      </c>
      <c r="K37" s="479">
        <f>'Bicycle Users'!J37*10</f>
        <v>2480.7953897796178</v>
      </c>
      <c r="L37" s="479">
        <f>'Bicycle Users'!K37*10</f>
        <v>0</v>
      </c>
      <c r="M37" s="479">
        <f>'Bicycle Users'!L37*10</f>
        <v>808.18519803798893</v>
      </c>
      <c r="N37" s="479">
        <f>'Bicycle Users'!M37*10</f>
        <v>4787.9351022746614</v>
      </c>
      <c r="O37" s="544">
        <f t="shared" si="27"/>
        <v>564.97897714743783</v>
      </c>
      <c r="P37" s="544">
        <f t="shared" si="28"/>
        <v>983.72778442100719</v>
      </c>
      <c r="Q37" s="544">
        <f t="shared" si="29"/>
        <v>3045.7743669270558</v>
      </c>
      <c r="R37" s="544">
        <f t="shared" si="30"/>
        <v>210.33278265986348</v>
      </c>
      <c r="S37" s="544">
        <f t="shared" si="31"/>
        <v>1018.5179806978524</v>
      </c>
      <c r="T37" s="544">
        <f t="shared" si="32"/>
        <v>4998.2678849345248</v>
      </c>
      <c r="U37" s="479">
        <f>U36*(1+'Fayette County Statistics'!$L$5)</f>
        <v>17861.158614049546</v>
      </c>
      <c r="V37" s="479">
        <f>V36*(1+'Fayette County Statistics'!$L$5)</f>
        <v>13349.612933560225</v>
      </c>
      <c r="W37" s="479">
        <f>W36*(1+'Fayette County Statistics'!$L$5)</f>
        <v>7592.6336329507294</v>
      </c>
      <c r="X37" s="544">
        <f>X36*(1+'Fayette County Statistics'!$L$5)</f>
        <v>850.37496689048203</v>
      </c>
      <c r="Y37" s="544">
        <f>Y36*(1+'Fayette County Statistics'!$L$5)</f>
        <v>326.48324621688135</v>
      </c>
      <c r="Z37" s="544">
        <f t="shared" ref="Z37:Z38" si="77">SUM(X37:Y37)</f>
        <v>1176.8582131073633</v>
      </c>
      <c r="AA37" s="544">
        <f>'Bicycle Users'!X37</f>
        <v>303.40163997271094</v>
      </c>
      <c r="AB37" s="479">
        <f>'Bicycle Users'!Y37*10</f>
        <v>0</v>
      </c>
      <c r="AC37" s="479">
        <f>'Bicycle Users'!Z37*10</f>
        <v>1080.6541389148611</v>
      </c>
      <c r="AD37" s="479">
        <f>'Bicycle Users'!AA37*10</f>
        <v>6267.6729917381363</v>
      </c>
      <c r="AE37" s="479">
        <f>'Bicycle Users'!AB37*10</f>
        <v>0</v>
      </c>
      <c r="AF37" s="479">
        <f>'Bicycle Users'!AC37*10</f>
        <v>1199.5260941954962</v>
      </c>
      <c r="AG37" s="479">
        <f>'Bicycle Users'!AD37*10</f>
        <v>6957.1170208293297</v>
      </c>
      <c r="AH37" s="544">
        <f t="shared" si="33"/>
        <v>1176.8582131073633</v>
      </c>
      <c r="AI37" s="544">
        <f t="shared" si="34"/>
        <v>2257.5123520222241</v>
      </c>
      <c r="AJ37" s="544">
        <f t="shared" si="35"/>
        <v>7444.5312048454998</v>
      </c>
      <c r="AK37" s="544">
        <f t="shared" si="36"/>
        <v>303.40163997271094</v>
      </c>
      <c r="AL37" s="544">
        <f t="shared" si="37"/>
        <v>1502.9277341682071</v>
      </c>
      <c r="AM37" s="544">
        <f t="shared" si="38"/>
        <v>7260.5186608020404</v>
      </c>
      <c r="AN37" s="479">
        <f>AN36*(1+'Fayette County Statistics'!$L$5)</f>
        <v>20185.350914794391</v>
      </c>
      <c r="AO37" s="479">
        <f>AO36*(1+'Fayette County Statistics'!$L$6)</f>
        <v>15679.711517356933</v>
      </c>
      <c r="AP37" s="479">
        <f>AP36*(1+'Fayette County Statistics'!$L$6)</f>
        <v>9366.3522105837092</v>
      </c>
      <c r="AQ37" s="544">
        <f>AQ36*(1+'Fayette County Statistics'!$L$6)</f>
        <v>861.70440337370121</v>
      </c>
      <c r="AR37" s="544">
        <f>AR36*(1+'Fayette County Statistics'!$L$6)</f>
        <v>440.21855389743428</v>
      </c>
      <c r="AS37" s="544">
        <f t="shared" ref="AS37:AS38" si="78">SUM(AQ37:AR37)</f>
        <v>1301.9229572711356</v>
      </c>
      <c r="AT37" s="544">
        <f t="shared" si="72"/>
        <v>507.74995333574276</v>
      </c>
      <c r="AU37" s="479">
        <f t="shared" si="2"/>
        <v>0</v>
      </c>
      <c r="AV37" s="479">
        <f t="shared" si="3"/>
        <v>323.10343752365475</v>
      </c>
      <c r="AW37" s="479">
        <f t="shared" ref="AW37:AX38" si="79">BC37-AS37</f>
        <v>2697.924183646413</v>
      </c>
      <c r="AX37" s="479">
        <f t="shared" si="79"/>
        <v>0</v>
      </c>
      <c r="AY37" s="479">
        <f t="shared" si="73"/>
        <v>126.01034063422532</v>
      </c>
      <c r="AZ37" s="479">
        <f t="shared" si="74"/>
        <v>1052.190431622101</v>
      </c>
      <c r="BA37" s="544">
        <f t="shared" si="5"/>
        <v>1301.9229572711356</v>
      </c>
      <c r="BB37" s="544">
        <f t="shared" si="6"/>
        <v>1625.0263947947903</v>
      </c>
      <c r="BC37" s="544">
        <f t="shared" si="7"/>
        <v>3999.8471409175486</v>
      </c>
      <c r="BD37" s="544">
        <f t="shared" si="75"/>
        <v>507.74995333574276</v>
      </c>
      <c r="BE37" s="544">
        <f t="shared" si="75"/>
        <v>633.76029396996807</v>
      </c>
      <c r="BF37" s="544">
        <f t="shared" si="75"/>
        <v>1559.9403849578437</v>
      </c>
      <c r="BG37" s="479">
        <f t="shared" si="8"/>
        <v>23742.589418866643</v>
      </c>
      <c r="BH37" s="479">
        <f t="shared" si="9"/>
        <v>18369.297295195742</v>
      </c>
      <c r="BI37" s="479">
        <f t="shared" si="10"/>
        <v>10460.547222531633</v>
      </c>
      <c r="BJ37" s="544">
        <f t="shared" si="11"/>
        <v>1269.0903509692939</v>
      </c>
      <c r="BK37" s="544">
        <f t="shared" si="12"/>
        <v>472.74683928550746</v>
      </c>
      <c r="BL37" s="544">
        <f t="shared" si="13"/>
        <v>1741.837190254801</v>
      </c>
      <c r="BM37" s="544">
        <f t="shared" si="14"/>
        <v>513.73442263257448</v>
      </c>
      <c r="BN37" s="479">
        <f t="shared" si="39"/>
        <v>0</v>
      </c>
      <c r="BO37" s="479">
        <f t="shared" si="15"/>
        <v>1499.4029461884304</v>
      </c>
      <c r="BP37" s="479">
        <f t="shared" si="16"/>
        <v>8748.4683815177541</v>
      </c>
      <c r="BQ37" s="479">
        <f t="shared" si="17"/>
        <v>0</v>
      </c>
      <c r="BR37" s="479">
        <f t="shared" si="18"/>
        <v>2007.711292233485</v>
      </c>
      <c r="BS37" s="479">
        <f t="shared" si="19"/>
        <v>11745.052123103991</v>
      </c>
      <c r="BT37" s="544">
        <f t="shared" si="20"/>
        <v>1741.837190254801</v>
      </c>
      <c r="BU37" s="544">
        <f t="shared" si="21"/>
        <v>3241.2401364432312</v>
      </c>
      <c r="BV37" s="544">
        <f t="shared" si="22"/>
        <v>10490.305571772555</v>
      </c>
      <c r="BW37" s="544">
        <f t="shared" si="23"/>
        <v>513.73442263257448</v>
      </c>
      <c r="BX37" s="544">
        <f t="shared" si="24"/>
        <v>2521.4457148660595</v>
      </c>
      <c r="BY37" s="544">
        <f t="shared" si="25"/>
        <v>12258.786545736566</v>
      </c>
      <c r="CB37" s="491"/>
      <c r="CC37" s="491"/>
    </row>
    <row r="38" spans="1:81" s="590" customFormat="1" x14ac:dyDescent="0.25">
      <c r="A38" s="588">
        <v>2049</v>
      </c>
      <c r="B38" s="589">
        <f>B37*(1+'Fayette County Statistics'!$L$5)</f>
        <v>5947.3049819606094</v>
      </c>
      <c r="C38" s="589">
        <f>C37*(1+'Fayette County Statistics'!$L$5)</f>
        <v>5075.9066632856648</v>
      </c>
      <c r="D38" s="589">
        <f>D37*(1+'Fayette County Statistics'!$L$5)</f>
        <v>2900.035271209395</v>
      </c>
      <c r="E38" s="589">
        <f>E37*(1+'Fayette County Statistics'!$L$5)</f>
        <v>423.40514959657156</v>
      </c>
      <c r="F38" s="589">
        <f>F37*(1+'Fayette County Statistics'!$L$5)</f>
        <v>147.90179883167914</v>
      </c>
      <c r="G38" s="589">
        <f t="shared" si="76"/>
        <v>571.30694842825073</v>
      </c>
      <c r="H38" s="589">
        <f>'Bicycle Users'!G38</f>
        <v>212.68858679049706</v>
      </c>
      <c r="I38" s="589">
        <f>'Bicycle Users'!H38*10</f>
        <v>0</v>
      </c>
      <c r="J38" s="589">
        <f>'Bicycle Users'!I38*10</f>
        <v>423.43894714334056</v>
      </c>
      <c r="K38" s="589">
        <f>'Bicycle Users'!J38*10</f>
        <v>2508.5812059162804</v>
      </c>
      <c r="L38" s="589">
        <f>'Bicycle Users'!K38*10</f>
        <v>0</v>
      </c>
      <c r="M38" s="589">
        <f>'Bicycle Users'!L38*10</f>
        <v>817.23716798664759</v>
      </c>
      <c r="N38" s="589">
        <f>'Bicycle Users'!M38*10</f>
        <v>4841.5617274184206</v>
      </c>
      <c r="O38" s="589">
        <f t="shared" si="27"/>
        <v>571.30694842825073</v>
      </c>
      <c r="P38" s="589">
        <f t="shared" si="28"/>
        <v>994.74589557159129</v>
      </c>
      <c r="Q38" s="589">
        <f t="shared" si="29"/>
        <v>3079.8881543445314</v>
      </c>
      <c r="R38" s="589">
        <f t="shared" si="30"/>
        <v>212.68858679049706</v>
      </c>
      <c r="S38" s="589">
        <f t="shared" si="31"/>
        <v>1029.9257547771447</v>
      </c>
      <c r="T38" s="589">
        <f t="shared" si="32"/>
        <v>5054.2503142089172</v>
      </c>
      <c r="U38" s="589">
        <f>U37*(1+'Fayette County Statistics'!$L$5)</f>
        <v>18061.210126271129</v>
      </c>
      <c r="V38" s="589">
        <f>V37*(1+'Fayette County Statistics'!$L$5)</f>
        <v>13499.133483298294</v>
      </c>
      <c r="W38" s="589">
        <f>W37*(1+'Fayette County Statistics'!$L$5)</f>
        <v>7677.6739079316294</v>
      </c>
      <c r="X38" s="589">
        <f>X37*(1+'Fayette County Statistics'!$L$5)</f>
        <v>859.89947768834293</v>
      </c>
      <c r="Y38" s="589">
        <f>Y37*(1+'Fayette County Statistics'!$L$5)</f>
        <v>330.13997804106009</v>
      </c>
      <c r="Z38" s="589">
        <f t="shared" si="77"/>
        <v>1190.039455729403</v>
      </c>
      <c r="AA38" s="589">
        <f>'Bicycle Users'!X38</f>
        <v>306.79984936094775</v>
      </c>
      <c r="AB38" s="589">
        <f>'Bicycle Users'!Y38*10</f>
        <v>0</v>
      </c>
      <c r="AC38" s="589">
        <f>'Bicycle Users'!Z38*10</f>
        <v>1092.7578607030086</v>
      </c>
      <c r="AD38" s="589">
        <f>'Bicycle Users'!AA38*10</f>
        <v>6337.8732227086684</v>
      </c>
      <c r="AE38" s="589">
        <f>'Bicycle Users'!AB38*10</f>
        <v>0</v>
      </c>
      <c r="AF38" s="589">
        <f>'Bicycle Users'!AC38*10</f>
        <v>1212.9612253803396</v>
      </c>
      <c r="AG38" s="589">
        <f>'Bicycle Users'!AD38*10</f>
        <v>7035.0392772066225</v>
      </c>
      <c r="AH38" s="589">
        <f t="shared" si="33"/>
        <v>1190.039455729403</v>
      </c>
      <c r="AI38" s="589">
        <f t="shared" si="34"/>
        <v>2282.7973164324117</v>
      </c>
      <c r="AJ38" s="589">
        <f t="shared" si="35"/>
        <v>7527.9126784380715</v>
      </c>
      <c r="AK38" s="589">
        <f t="shared" si="36"/>
        <v>306.79984936094775</v>
      </c>
      <c r="AL38" s="589">
        <f t="shared" si="37"/>
        <v>1519.7610747412873</v>
      </c>
      <c r="AM38" s="589">
        <f t="shared" si="38"/>
        <v>7341.83912656757</v>
      </c>
      <c r="AN38" s="589">
        <f>AN37*(1+'Fayette County Statistics'!$L$5)</f>
        <v>20411.434231251344</v>
      </c>
      <c r="AO38" s="589">
        <f>AO37*(1+'Fayette County Statistics'!$L$6)</f>
        <v>15863.425380653629</v>
      </c>
      <c r="AP38" s="589">
        <f>AP37*(1+'Fayette County Statistics'!$L$6)</f>
        <v>9476.0945835667262</v>
      </c>
      <c r="AQ38" s="589">
        <f>AQ37*(1+'Fayette County Statistics'!$L$6)</f>
        <v>871.8007016881387</v>
      </c>
      <c r="AR38" s="589">
        <f>AR37*(1+'Fayette County Statistics'!$L$6)</f>
        <v>445.37644542763604</v>
      </c>
      <c r="AS38" s="589">
        <f t="shared" si="78"/>
        <v>1317.1771471157747</v>
      </c>
      <c r="AT38" s="589">
        <f t="shared" si="72"/>
        <v>513.69908737515198</v>
      </c>
      <c r="AU38" s="589">
        <f t="shared" si="2"/>
        <v>0</v>
      </c>
      <c r="AV38" s="589">
        <f t="shared" si="3"/>
        <v>326.88913094576924</v>
      </c>
      <c r="AW38" s="589">
        <f t="shared" si="79"/>
        <v>2729.5348465154711</v>
      </c>
      <c r="AX38" s="589">
        <f t="shared" si="79"/>
        <v>0</v>
      </c>
      <c r="AY38" s="589">
        <f t="shared" si="73"/>
        <v>127.48676106885</v>
      </c>
      <c r="AZ38" s="589">
        <f t="shared" si="74"/>
        <v>1064.5185901410337</v>
      </c>
      <c r="BA38" s="589">
        <f t="shared" si="5"/>
        <v>1317.1771471157747</v>
      </c>
      <c r="BB38" s="589">
        <f t="shared" si="6"/>
        <v>1644.0662780615439</v>
      </c>
      <c r="BC38" s="589">
        <f t="shared" si="7"/>
        <v>4046.7119936312461</v>
      </c>
      <c r="BD38" s="589">
        <f t="shared" si="75"/>
        <v>513.69908737515198</v>
      </c>
      <c r="BE38" s="589">
        <f t="shared" si="75"/>
        <v>641.18584844400198</v>
      </c>
      <c r="BF38" s="589">
        <f t="shared" si="75"/>
        <v>1578.2176775161856</v>
      </c>
      <c r="BG38" s="589">
        <f t="shared" si="8"/>
        <v>24008.515108231739</v>
      </c>
      <c r="BH38" s="589">
        <f t="shared" si="9"/>
        <v>18575.04014658396</v>
      </c>
      <c r="BI38" s="589">
        <f t="shared" si="10"/>
        <v>10577.709179141024</v>
      </c>
      <c r="BJ38" s="589">
        <f t="shared" si="11"/>
        <v>1283.3046272849144</v>
      </c>
      <c r="BK38" s="589">
        <f t="shared" si="12"/>
        <v>478.04177687273921</v>
      </c>
      <c r="BL38" s="589">
        <f t="shared" si="13"/>
        <v>1761.3464041576538</v>
      </c>
      <c r="BM38" s="589">
        <f t="shared" si="14"/>
        <v>519.48843615144483</v>
      </c>
      <c r="BN38" s="589">
        <f t="shared" si="39"/>
        <v>0</v>
      </c>
      <c r="BO38" s="589">
        <f t="shared" si="15"/>
        <v>1516.1968078463492</v>
      </c>
      <c r="BP38" s="589">
        <f t="shared" si="16"/>
        <v>8846.4544286249493</v>
      </c>
      <c r="BQ38" s="589">
        <f t="shared" si="17"/>
        <v>0</v>
      </c>
      <c r="BR38" s="589">
        <f t="shared" si="18"/>
        <v>2030.1983933669871</v>
      </c>
      <c r="BS38" s="589">
        <f t="shared" si="19"/>
        <v>11876.601004625043</v>
      </c>
      <c r="BT38" s="589">
        <f t="shared" si="20"/>
        <v>1761.3464041576538</v>
      </c>
      <c r="BU38" s="589">
        <f t="shared" si="21"/>
        <v>3277.5432120040032</v>
      </c>
      <c r="BV38" s="589">
        <f t="shared" si="22"/>
        <v>10607.800832782603</v>
      </c>
      <c r="BW38" s="589">
        <f t="shared" si="23"/>
        <v>519.48843615144483</v>
      </c>
      <c r="BX38" s="589">
        <f t="shared" si="24"/>
        <v>2549.6868295184322</v>
      </c>
      <c r="BY38" s="589">
        <f t="shared" si="25"/>
        <v>12396.089440776486</v>
      </c>
      <c r="CB38" s="591"/>
      <c r="CC38" s="591"/>
    </row>
    <row r="39" spans="1:81" x14ac:dyDescent="0.25">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1"/>
      <c r="AZ39" s="491"/>
      <c r="BA39" s="491"/>
      <c r="BB39" s="491"/>
      <c r="BC39" s="491"/>
      <c r="BD39" s="491"/>
      <c r="BE39" s="491"/>
      <c r="BF39" s="491"/>
      <c r="BG39" s="491"/>
      <c r="BH39" s="491"/>
      <c r="BI39" s="491"/>
      <c r="BJ39" s="491"/>
      <c r="BK39" s="491"/>
      <c r="BL39" s="491"/>
      <c r="BM39" s="491"/>
      <c r="BN39" s="491"/>
      <c r="BO39" s="491"/>
      <c r="BP39" s="491"/>
      <c r="BQ39" s="491"/>
      <c r="BR39" s="491"/>
      <c r="BS39" s="491"/>
      <c r="BT39" s="491"/>
      <c r="BU39" s="491"/>
      <c r="BV39" s="491"/>
      <c r="BW39" s="491"/>
      <c r="BX39" s="491"/>
      <c r="BY39" s="491"/>
    </row>
    <row r="40" spans="1:81" x14ac:dyDescent="0.25">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491"/>
      <c r="BM40" s="491"/>
      <c r="BN40" s="491"/>
      <c r="BO40" s="491"/>
      <c r="BP40" s="491"/>
      <c r="BQ40" s="491"/>
      <c r="BR40" s="491"/>
      <c r="BS40" s="491"/>
      <c r="BT40" s="491"/>
      <c r="BU40" s="491"/>
      <c r="BV40" s="491"/>
      <c r="BW40" s="491"/>
      <c r="BX40" s="491"/>
      <c r="BY40" s="491"/>
    </row>
    <row r="41" spans="1:81" x14ac:dyDescent="0.25">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491"/>
      <c r="BM41" s="491"/>
      <c r="BN41" s="491"/>
      <c r="BO41" s="491"/>
      <c r="BP41" s="491"/>
      <c r="BQ41" s="491"/>
      <c r="BR41" s="491"/>
      <c r="BS41" s="491"/>
      <c r="BT41" s="491"/>
      <c r="BU41" s="491"/>
      <c r="BV41" s="491"/>
      <c r="BW41" s="491"/>
      <c r="BX41" s="491"/>
      <c r="BY41" s="491"/>
    </row>
    <row r="42" spans="1:81" x14ac:dyDescent="0.25">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1"/>
      <c r="AY42" s="491"/>
      <c r="AZ42" s="491"/>
      <c r="BA42" s="491"/>
      <c r="BB42" s="491"/>
      <c r="BC42" s="491"/>
      <c r="BD42" s="491"/>
      <c r="BE42" s="491"/>
      <c r="BF42" s="491"/>
      <c r="BG42" s="491"/>
      <c r="BH42" s="491"/>
      <c r="BI42" s="491"/>
      <c r="BJ42" s="491"/>
      <c r="BK42" s="491"/>
      <c r="BL42" s="491"/>
      <c r="BM42" s="491"/>
      <c r="BN42" s="491"/>
      <c r="BO42" s="491"/>
      <c r="BP42" s="491"/>
      <c r="BQ42" s="666"/>
      <c r="BR42" s="666"/>
      <c r="BS42" s="666"/>
      <c r="BT42" s="666"/>
      <c r="BU42" s="666"/>
      <c r="BV42" s="666"/>
      <c r="BW42" s="666"/>
      <c r="BX42" s="491"/>
      <c r="BY42" s="491"/>
    </row>
    <row r="43" spans="1:81" x14ac:dyDescent="0.25">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1"/>
      <c r="BD43" s="491"/>
      <c r="BE43" s="491"/>
      <c r="BF43" s="491"/>
      <c r="BG43" s="491"/>
      <c r="BH43" s="491">
        <f>BG9*0.421</f>
        <v>7317.5899815529483</v>
      </c>
      <c r="BI43" s="491">
        <f>BH9*0.421</f>
        <v>5661.5133035438112</v>
      </c>
      <c r="BJ43" s="491"/>
      <c r="BK43" s="491"/>
      <c r="BL43" s="491"/>
      <c r="BM43" s="491"/>
      <c r="BN43" s="491"/>
      <c r="BO43" s="491"/>
      <c r="BP43" s="491"/>
      <c r="BQ43" s="666"/>
      <c r="BR43" s="583"/>
      <c r="BS43" s="583"/>
      <c r="BT43" s="583"/>
      <c r="BU43" s="583"/>
      <c r="BV43" s="583"/>
      <c r="BW43" s="583"/>
      <c r="BX43" s="491"/>
      <c r="BY43" s="491"/>
    </row>
    <row r="44" spans="1:81" x14ac:dyDescent="0.25">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1"/>
      <c r="BK44" s="491"/>
      <c r="BL44" s="491"/>
      <c r="BM44" s="491"/>
      <c r="BN44" s="491"/>
      <c r="BO44" s="491"/>
      <c r="BP44" s="491"/>
      <c r="BQ44" s="584"/>
      <c r="BR44" s="592"/>
      <c r="BS44" s="592"/>
      <c r="BT44" s="593"/>
      <c r="BU44" s="585"/>
      <c r="BV44" s="592"/>
      <c r="BW44" s="586"/>
      <c r="BX44" s="491"/>
      <c r="BY44" s="491"/>
    </row>
    <row r="45" spans="1:81" x14ac:dyDescent="0.25">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c r="BA45" s="491"/>
      <c r="BB45" s="491"/>
      <c r="BC45" s="491"/>
      <c r="BD45" s="491"/>
      <c r="BE45" s="491"/>
      <c r="BF45" s="491"/>
      <c r="BG45" s="491"/>
      <c r="BH45" s="491"/>
      <c r="BI45" s="491"/>
      <c r="BJ45" s="491"/>
      <c r="BK45" s="491"/>
      <c r="BL45" s="491"/>
      <c r="BM45" s="491"/>
      <c r="BN45" s="491"/>
      <c r="BO45" s="491"/>
      <c r="BP45" s="491"/>
      <c r="BQ45" s="584"/>
      <c r="BR45" s="592"/>
      <c r="BS45" s="592"/>
      <c r="BT45" s="586"/>
      <c r="BU45" s="585"/>
      <c r="BV45" s="592"/>
      <c r="BW45" s="586"/>
      <c r="BX45" s="491"/>
      <c r="BY45" s="491"/>
    </row>
    <row r="46" spans="1:81" x14ac:dyDescent="0.25">
      <c r="J46" s="491">
        <f>SUM(G9,J9)</f>
        <v>720.1663602177556</v>
      </c>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1"/>
      <c r="BD46" s="491"/>
      <c r="BE46" s="491"/>
      <c r="BF46" s="491"/>
      <c r="BG46" s="491"/>
      <c r="BH46" s="491"/>
      <c r="BI46" s="491"/>
      <c r="BJ46" s="491"/>
      <c r="BK46" s="491"/>
      <c r="BL46" s="491"/>
      <c r="BM46" s="491"/>
      <c r="BN46" s="491"/>
      <c r="BO46" s="491"/>
      <c r="BP46" s="491"/>
      <c r="BQ46" s="582"/>
      <c r="BR46" s="582"/>
      <c r="BS46" s="582"/>
      <c r="BT46" s="582"/>
      <c r="BU46" s="582"/>
      <c r="BV46" s="582"/>
      <c r="BW46" s="582"/>
      <c r="BX46" s="491"/>
      <c r="BY46" s="491"/>
    </row>
  </sheetData>
  <sheetProtection password="891C" sheet="1" objects="1" scenarios="1"/>
  <mergeCells count="7">
    <mergeCell ref="B1:T1"/>
    <mergeCell ref="U1:AM1"/>
    <mergeCell ref="AN1:BF1"/>
    <mergeCell ref="BG1:BY1"/>
    <mergeCell ref="BQ42:BQ43"/>
    <mergeCell ref="BR42:BT42"/>
    <mergeCell ref="BU42:BW42"/>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7"/>
  <sheetViews>
    <sheetView topLeftCell="A66" zoomScale="70" zoomScaleNormal="70" workbookViewId="0">
      <selection activeCell="A126" sqref="A126"/>
    </sheetView>
  </sheetViews>
  <sheetFormatPr defaultRowHeight="15" x14ac:dyDescent="0.25"/>
  <cols>
    <col min="1" max="1" width="107.5703125" style="450" customWidth="1"/>
    <col min="2" max="2" width="18.28515625" style="450" customWidth="1"/>
    <col min="3" max="3" width="196.28515625" style="450" customWidth="1"/>
    <col min="4" max="4" width="9.140625" style="485"/>
    <col min="5" max="16384" width="9.140625" style="450"/>
  </cols>
  <sheetData>
    <row r="1" spans="1:3" x14ac:dyDescent="0.25">
      <c r="A1" s="545" t="s">
        <v>248</v>
      </c>
      <c r="B1" s="545" t="s">
        <v>246</v>
      </c>
      <c r="C1" s="545" t="s">
        <v>247</v>
      </c>
    </row>
    <row r="2" spans="1:3" x14ac:dyDescent="0.25">
      <c r="A2" s="545" t="s">
        <v>357</v>
      </c>
      <c r="B2" s="545"/>
      <c r="C2" s="545"/>
    </row>
    <row r="3" spans="1:3" x14ac:dyDescent="0.25">
      <c r="A3" s="546" t="s">
        <v>162</v>
      </c>
      <c r="B3" s="547">
        <v>7.0000000000000007E-2</v>
      </c>
      <c r="C3" s="486" t="s">
        <v>493</v>
      </c>
    </row>
    <row r="4" spans="1:3" x14ac:dyDescent="0.25">
      <c r="A4" s="546" t="s">
        <v>814</v>
      </c>
      <c r="B4" s="609">
        <v>1.52E-2</v>
      </c>
      <c r="C4" s="608" t="s">
        <v>813</v>
      </c>
    </row>
    <row r="5" spans="1:3" x14ac:dyDescent="0.25">
      <c r="A5" s="486" t="s">
        <v>452</v>
      </c>
      <c r="B5" s="548">
        <v>1.43</v>
      </c>
      <c r="C5" s="513" t="s">
        <v>367</v>
      </c>
    </row>
    <row r="6" spans="1:3" x14ac:dyDescent="0.25">
      <c r="A6" s="513" t="s">
        <v>717</v>
      </c>
      <c r="B6" s="549"/>
      <c r="C6" s="513" t="s">
        <v>725</v>
      </c>
    </row>
    <row r="7" spans="1:3" x14ac:dyDescent="0.25">
      <c r="A7" s="513" t="s">
        <v>718</v>
      </c>
      <c r="B7" s="549"/>
      <c r="C7" s="513" t="s">
        <v>725</v>
      </c>
    </row>
    <row r="8" spans="1:3" x14ac:dyDescent="0.25">
      <c r="A8" s="513" t="s">
        <v>719</v>
      </c>
      <c r="B8" s="549">
        <v>0.25</v>
      </c>
      <c r="C8" s="513" t="s">
        <v>725</v>
      </c>
    </row>
    <row r="9" spans="1:3" x14ac:dyDescent="0.25">
      <c r="A9" s="513" t="s">
        <v>720</v>
      </c>
      <c r="B9" s="549">
        <v>0.4</v>
      </c>
      <c r="C9" s="513" t="s">
        <v>725</v>
      </c>
    </row>
    <row r="10" spans="1:3" x14ac:dyDescent="0.25">
      <c r="A10" s="513" t="s">
        <v>721</v>
      </c>
      <c r="B10" s="549"/>
      <c r="C10" s="513" t="s">
        <v>725</v>
      </c>
    </row>
    <row r="11" spans="1:3" x14ac:dyDescent="0.25">
      <c r="A11" s="513" t="s">
        <v>722</v>
      </c>
      <c r="B11" s="549">
        <v>0.7</v>
      </c>
      <c r="C11" s="513" t="s">
        <v>725</v>
      </c>
    </row>
    <row r="12" spans="1:3" x14ac:dyDescent="0.25">
      <c r="A12" s="513" t="s">
        <v>723</v>
      </c>
      <c r="B12" s="549">
        <v>1.3</v>
      </c>
      <c r="C12" s="513" t="s">
        <v>725</v>
      </c>
    </row>
    <row r="13" spans="1:3" x14ac:dyDescent="0.25">
      <c r="A13" s="513" t="s">
        <v>724</v>
      </c>
      <c r="B13" s="549">
        <f>SUM(B6:B12)</f>
        <v>2.6500000000000004</v>
      </c>
      <c r="C13" s="513" t="s">
        <v>725</v>
      </c>
    </row>
    <row r="14" spans="1:3" x14ac:dyDescent="0.25">
      <c r="A14" s="486" t="s">
        <v>180</v>
      </c>
      <c r="B14" s="550">
        <v>0.62137100000000001</v>
      </c>
      <c r="C14" s="513" t="s">
        <v>367</v>
      </c>
    </row>
    <row r="15" spans="1:3" x14ac:dyDescent="0.25">
      <c r="A15" s="513" t="s">
        <v>288</v>
      </c>
      <c r="B15" s="486" t="s">
        <v>289</v>
      </c>
      <c r="C15" s="450" t="s">
        <v>502</v>
      </c>
    </row>
    <row r="16" spans="1:3" x14ac:dyDescent="0.25">
      <c r="A16" s="513" t="s">
        <v>299</v>
      </c>
      <c r="B16" s="486">
        <v>28</v>
      </c>
      <c r="C16" s="513" t="s">
        <v>327</v>
      </c>
    </row>
    <row r="17" spans="1:3" x14ac:dyDescent="0.25">
      <c r="A17" s="513" t="s">
        <v>816</v>
      </c>
      <c r="B17" s="486">
        <f>5*50</f>
        <v>250</v>
      </c>
      <c r="C17" s="513" t="s">
        <v>341</v>
      </c>
    </row>
    <row r="18" spans="1:3" x14ac:dyDescent="0.25">
      <c r="A18" s="513" t="s">
        <v>505</v>
      </c>
      <c r="B18" s="486">
        <v>130</v>
      </c>
      <c r="C18" s="551" t="s">
        <v>506</v>
      </c>
    </row>
    <row r="19" spans="1:3" x14ac:dyDescent="0.25">
      <c r="A19" s="513" t="s">
        <v>504</v>
      </c>
      <c r="B19" s="486">
        <f>ROUND(B17-(0.25*B18),0)</f>
        <v>218</v>
      </c>
      <c r="C19" s="513" t="s">
        <v>341</v>
      </c>
    </row>
    <row r="20" spans="1:3" x14ac:dyDescent="0.25">
      <c r="A20" s="513" t="s">
        <v>300</v>
      </c>
      <c r="B20" s="513">
        <f>ROUND(365-(0.25*B18),0)</f>
        <v>333</v>
      </c>
      <c r="C20" s="513" t="s">
        <v>341</v>
      </c>
    </row>
    <row r="21" spans="1:3" x14ac:dyDescent="0.25">
      <c r="A21" s="513" t="s">
        <v>389</v>
      </c>
      <c r="B21" s="525">
        <f>'Detailed Cost Estimate'!E34</f>
        <v>2000</v>
      </c>
      <c r="C21" s="513" t="s">
        <v>659</v>
      </c>
    </row>
    <row r="22" spans="1:3" x14ac:dyDescent="0.25">
      <c r="A22" s="545"/>
      <c r="B22" s="545"/>
      <c r="C22" s="545"/>
    </row>
    <row r="23" spans="1:3" x14ac:dyDescent="0.25">
      <c r="A23" s="552" t="s">
        <v>346</v>
      </c>
      <c r="B23" s="552"/>
      <c r="C23" s="552"/>
    </row>
    <row r="24" spans="1:3" x14ac:dyDescent="0.25">
      <c r="A24" s="513" t="s">
        <v>372</v>
      </c>
      <c r="B24" s="549">
        <v>2.93</v>
      </c>
      <c r="C24" s="513" t="s">
        <v>381</v>
      </c>
    </row>
    <row r="25" spans="1:3" x14ac:dyDescent="0.25">
      <c r="A25" s="513" t="s">
        <v>373</v>
      </c>
      <c r="B25" s="549">
        <v>2.11</v>
      </c>
      <c r="C25" s="513" t="s">
        <v>381</v>
      </c>
    </row>
    <row r="26" spans="1:3" x14ac:dyDescent="0.25">
      <c r="A26" s="513" t="s">
        <v>374</v>
      </c>
      <c r="B26" s="549">
        <v>1.39</v>
      </c>
      <c r="C26" s="513" t="s">
        <v>381</v>
      </c>
    </row>
    <row r="27" spans="1:3" x14ac:dyDescent="0.25">
      <c r="A27" s="513" t="s">
        <v>375</v>
      </c>
      <c r="B27" s="553">
        <v>0</v>
      </c>
      <c r="C27" s="513" t="s">
        <v>381</v>
      </c>
    </row>
    <row r="28" spans="1:3" x14ac:dyDescent="0.25">
      <c r="A28" s="513" t="s">
        <v>376</v>
      </c>
      <c r="B28" s="553">
        <v>4.0000000000000001E-3</v>
      </c>
      <c r="C28" s="513" t="s">
        <v>381</v>
      </c>
    </row>
    <row r="29" spans="1:3" x14ac:dyDescent="0.25">
      <c r="A29" s="513" t="s">
        <v>377</v>
      </c>
      <c r="B29" s="554">
        <v>6.0000000000000001E-3</v>
      </c>
      <c r="C29" s="513" t="s">
        <v>381</v>
      </c>
    </row>
    <row r="30" spans="1:3" x14ac:dyDescent="0.25">
      <c r="A30" s="513" t="s">
        <v>378</v>
      </c>
      <c r="B30" s="555">
        <v>1</v>
      </c>
      <c r="C30" s="513" t="s">
        <v>381</v>
      </c>
    </row>
    <row r="31" spans="1:3" x14ac:dyDescent="0.25">
      <c r="A31" s="513" t="s">
        <v>379</v>
      </c>
      <c r="B31" s="555">
        <v>1.2</v>
      </c>
      <c r="C31" s="513" t="s">
        <v>381</v>
      </c>
    </row>
    <row r="32" spans="1:3" x14ac:dyDescent="0.25">
      <c r="A32" s="513" t="s">
        <v>380</v>
      </c>
      <c r="B32" s="555">
        <v>3</v>
      </c>
      <c r="C32" s="513" t="s">
        <v>381</v>
      </c>
    </row>
    <row r="33" spans="1:3" x14ac:dyDescent="0.25">
      <c r="A33" s="486"/>
      <c r="B33" s="556"/>
      <c r="C33" s="557"/>
    </row>
    <row r="34" spans="1:3" x14ac:dyDescent="0.25">
      <c r="A34" s="545" t="s">
        <v>200</v>
      </c>
      <c r="B34" s="545"/>
      <c r="C34" s="545"/>
    </row>
    <row r="35" spans="1:3" x14ac:dyDescent="0.25">
      <c r="A35" s="513" t="s">
        <v>347</v>
      </c>
      <c r="B35" s="549">
        <f>'0.25 Mile Population'!I60</f>
        <v>18.373999999999999</v>
      </c>
      <c r="C35" s="513" t="s">
        <v>542</v>
      </c>
    </row>
    <row r="36" spans="1:3" x14ac:dyDescent="0.25">
      <c r="A36" s="486" t="s">
        <v>348</v>
      </c>
      <c r="B36" s="558">
        <v>28</v>
      </c>
      <c r="C36" s="486" t="s">
        <v>327</v>
      </c>
    </row>
    <row r="37" spans="1:3" x14ac:dyDescent="0.25">
      <c r="A37" s="486" t="s">
        <v>349</v>
      </c>
      <c r="B37" s="559">
        <v>2</v>
      </c>
      <c r="C37" s="486" t="s">
        <v>340</v>
      </c>
    </row>
    <row r="38" spans="1:3" x14ac:dyDescent="0.25">
      <c r="A38" s="486"/>
      <c r="B38" s="587"/>
      <c r="C38" s="486"/>
    </row>
    <row r="39" spans="1:3" x14ac:dyDescent="0.25">
      <c r="A39" s="545" t="s">
        <v>230</v>
      </c>
      <c r="B39" s="545"/>
      <c r="C39" s="545"/>
    </row>
    <row r="40" spans="1:3" x14ac:dyDescent="0.25">
      <c r="A40" s="486" t="s">
        <v>453</v>
      </c>
      <c r="B40" s="548">
        <f>SUM(B43:B44)</f>
        <v>6.213313794677415E-2</v>
      </c>
      <c r="C40" s="486" t="s">
        <v>359</v>
      </c>
    </row>
    <row r="41" spans="1:3" hidden="1" x14ac:dyDescent="0.25">
      <c r="A41" s="513" t="s">
        <v>218</v>
      </c>
      <c r="B41" s="560">
        <v>5.0999999999999997E-2</v>
      </c>
      <c r="C41" s="513" t="s">
        <v>219</v>
      </c>
    </row>
    <row r="42" spans="1:3" hidden="1" x14ac:dyDescent="0.25">
      <c r="A42" s="513" t="s">
        <v>220</v>
      </c>
      <c r="B42" s="560">
        <v>0.01</v>
      </c>
      <c r="C42" s="450" t="s">
        <v>219</v>
      </c>
    </row>
    <row r="43" spans="1:3" x14ac:dyDescent="0.25">
      <c r="A43" s="513" t="s">
        <v>454</v>
      </c>
      <c r="B43" s="561">
        <f>B41*(CPI!B29/CPI!B26)</f>
        <v>5.1947377627630846E-2</v>
      </c>
      <c r="C43" s="513" t="s">
        <v>298</v>
      </c>
    </row>
    <row r="44" spans="1:3" x14ac:dyDescent="0.25">
      <c r="A44" s="513" t="s">
        <v>455</v>
      </c>
      <c r="B44" s="561">
        <f>B42*(CPI!B29/CPI!B26)</f>
        <v>1.0185760319143304E-2</v>
      </c>
      <c r="C44" s="513" t="s">
        <v>298</v>
      </c>
    </row>
    <row r="45" spans="1:3" x14ac:dyDescent="0.25">
      <c r="A45" s="513" t="s">
        <v>799</v>
      </c>
      <c r="B45" s="561">
        <f>B47</f>
        <v>1.3779582849399923E-3</v>
      </c>
      <c r="C45" s="513"/>
    </row>
    <row r="46" spans="1:3" x14ac:dyDescent="0.25">
      <c r="A46" s="562" t="s">
        <v>358</v>
      </c>
      <c r="B46" s="564">
        <v>1E-3</v>
      </c>
      <c r="C46" s="562" t="s">
        <v>216</v>
      </c>
    </row>
    <row r="47" spans="1:3" x14ac:dyDescent="0.25">
      <c r="A47" s="562" t="s">
        <v>456</v>
      </c>
      <c r="B47" s="563">
        <f>B46*(CPI!B29/CPI!B13)</f>
        <v>1.3779582849399923E-3</v>
      </c>
      <c r="C47" s="562" t="s">
        <v>297</v>
      </c>
    </row>
    <row r="48" spans="1:3" x14ac:dyDescent="0.25">
      <c r="A48" s="562" t="s">
        <v>422</v>
      </c>
      <c r="B48" s="563">
        <v>0.08</v>
      </c>
      <c r="C48" s="190"/>
    </row>
    <row r="49" spans="1:3" x14ac:dyDescent="0.25">
      <c r="A49" s="562" t="s">
        <v>457</v>
      </c>
      <c r="B49" s="563">
        <f>B48*(CPI!B29/CPI!B3)</f>
        <v>0.14523912267278757</v>
      </c>
      <c r="C49" s="562" t="s">
        <v>332</v>
      </c>
    </row>
    <row r="50" spans="1:3" hidden="1" x14ac:dyDescent="0.25">
      <c r="A50" s="513" t="s">
        <v>295</v>
      </c>
      <c r="B50" s="486">
        <v>1.76</v>
      </c>
      <c r="C50" s="513" t="s">
        <v>296</v>
      </c>
    </row>
    <row r="51" spans="1:3" hidden="1" x14ac:dyDescent="0.25">
      <c r="A51" s="513" t="s">
        <v>405</v>
      </c>
      <c r="B51" s="483">
        <v>36000</v>
      </c>
      <c r="C51" s="513" t="s">
        <v>296</v>
      </c>
    </row>
    <row r="52" spans="1:3" ht="16.5" hidden="1" customHeight="1" x14ac:dyDescent="0.25">
      <c r="A52" s="513" t="s">
        <v>406</v>
      </c>
      <c r="B52" s="565">
        <v>5</v>
      </c>
      <c r="C52" s="513" t="s">
        <v>296</v>
      </c>
    </row>
    <row r="53" spans="1:3" ht="16.5" hidden="1" customHeight="1" x14ac:dyDescent="0.25">
      <c r="A53" s="513" t="s">
        <v>397</v>
      </c>
      <c r="B53" s="566">
        <v>0.04</v>
      </c>
      <c r="C53" s="513" t="s">
        <v>510</v>
      </c>
    </row>
    <row r="54" spans="1:3" ht="16.5" hidden="1" customHeight="1" x14ac:dyDescent="0.25">
      <c r="A54" s="513" t="s">
        <v>398</v>
      </c>
      <c r="B54" s="566">
        <v>11.12</v>
      </c>
      <c r="C54" s="513" t="s">
        <v>510</v>
      </c>
    </row>
    <row r="55" spans="1:3" ht="16.5" hidden="1" customHeight="1" x14ac:dyDescent="0.25">
      <c r="A55" s="513" t="s">
        <v>399</v>
      </c>
      <c r="B55" s="566">
        <v>0.157</v>
      </c>
      <c r="C55" s="513" t="s">
        <v>510</v>
      </c>
    </row>
    <row r="56" spans="1:3" x14ac:dyDescent="0.25">
      <c r="A56" s="486"/>
      <c r="B56" s="558"/>
      <c r="C56" s="486"/>
    </row>
    <row r="57" spans="1:3" x14ac:dyDescent="0.25">
      <c r="A57" s="545" t="s">
        <v>355</v>
      </c>
      <c r="B57" s="558"/>
      <c r="C57" s="486"/>
    </row>
    <row r="58" spans="1:3" hidden="1" x14ac:dyDescent="0.25">
      <c r="A58" s="513" t="s">
        <v>217</v>
      </c>
      <c r="B58" s="560">
        <v>7.6999999999999999E-2</v>
      </c>
      <c r="C58" s="485" t="s">
        <v>216</v>
      </c>
    </row>
    <row r="59" spans="1:3" x14ac:dyDescent="0.25">
      <c r="A59" s="513" t="s">
        <v>458</v>
      </c>
      <c r="B59" s="561">
        <f>B58*(CPI!B29/CPI!B13)</f>
        <v>0.1061027879403794</v>
      </c>
      <c r="C59" s="513" t="s">
        <v>297</v>
      </c>
    </row>
    <row r="60" spans="1:3" hidden="1" x14ac:dyDescent="0.25">
      <c r="A60" s="513" t="s">
        <v>322</v>
      </c>
      <c r="B60" s="548">
        <v>0.83</v>
      </c>
      <c r="C60" s="486" t="s">
        <v>323</v>
      </c>
    </row>
    <row r="61" spans="1:3" hidden="1" x14ac:dyDescent="0.25">
      <c r="A61" s="562" t="s">
        <v>360</v>
      </c>
      <c r="B61" s="563">
        <v>0.05</v>
      </c>
      <c r="C61" s="562" t="s">
        <v>329</v>
      </c>
    </row>
    <row r="62" spans="1:3" hidden="1" x14ac:dyDescent="0.25">
      <c r="A62" s="562" t="s">
        <v>459</v>
      </c>
      <c r="B62" s="564">
        <f>B61*(CPI!B29/CPI!B22)</f>
        <v>5.5301513647218581E-2</v>
      </c>
      <c r="C62" s="562" t="s">
        <v>329</v>
      </c>
    </row>
    <row r="63" spans="1:3" x14ac:dyDescent="0.25">
      <c r="A63" s="486"/>
      <c r="B63" s="558"/>
      <c r="C63" s="486"/>
    </row>
    <row r="64" spans="1:3" x14ac:dyDescent="0.25">
      <c r="A64" s="567" t="s">
        <v>232</v>
      </c>
      <c r="B64" s="558"/>
      <c r="C64" s="486"/>
    </row>
    <row r="65" spans="1:3" x14ac:dyDescent="0.25">
      <c r="A65" s="486" t="s">
        <v>511</v>
      </c>
      <c r="B65" s="548">
        <f>B114</f>
        <v>12.149739716675199</v>
      </c>
      <c r="C65" s="486"/>
    </row>
    <row r="66" spans="1:3" x14ac:dyDescent="0.25">
      <c r="A66" s="486" t="s">
        <v>350</v>
      </c>
      <c r="B66" s="558">
        <v>1</v>
      </c>
      <c r="C66" s="486"/>
    </row>
    <row r="67" spans="1:3" x14ac:dyDescent="0.25">
      <c r="A67" s="486" t="s">
        <v>512</v>
      </c>
      <c r="B67" s="548">
        <f>B65</f>
        <v>12.149739716675199</v>
      </c>
      <c r="C67" s="486"/>
    </row>
    <row r="68" spans="1:3" x14ac:dyDescent="0.25">
      <c r="A68" s="486" t="s">
        <v>351</v>
      </c>
      <c r="B68" s="558">
        <v>1</v>
      </c>
      <c r="C68" s="486"/>
    </row>
    <row r="69" spans="1:3" x14ac:dyDescent="0.25">
      <c r="A69" s="486" t="s">
        <v>513</v>
      </c>
      <c r="B69" s="548">
        <f>B111</f>
        <v>6.5636254328475241</v>
      </c>
      <c r="C69" s="486"/>
    </row>
    <row r="70" spans="1:3" x14ac:dyDescent="0.25">
      <c r="A70" s="513" t="s">
        <v>514</v>
      </c>
      <c r="B70" s="561">
        <f>B98</f>
        <v>0.57098024197734365</v>
      </c>
      <c r="C70" s="513"/>
    </row>
    <row r="71" spans="1:3" x14ac:dyDescent="0.25">
      <c r="A71" s="513" t="s">
        <v>515</v>
      </c>
      <c r="B71" s="483">
        <f>B101</f>
        <v>155.51666837344254</v>
      </c>
      <c r="C71" s="513" t="s">
        <v>344</v>
      </c>
    </row>
    <row r="72" spans="1:3" x14ac:dyDescent="0.25">
      <c r="A72" s="513" t="s">
        <v>352</v>
      </c>
      <c r="B72" s="513">
        <v>20.38</v>
      </c>
      <c r="C72" s="513" t="s">
        <v>342</v>
      </c>
    </row>
    <row r="73" spans="1:3" hidden="1" x14ac:dyDescent="0.25">
      <c r="A73" s="513" t="s">
        <v>353</v>
      </c>
      <c r="B73" s="561">
        <v>13.45</v>
      </c>
      <c r="C73" s="513" t="s">
        <v>493</v>
      </c>
    </row>
    <row r="74" spans="1:3" x14ac:dyDescent="0.25">
      <c r="A74" s="513" t="s">
        <v>460</v>
      </c>
      <c r="B74" s="561">
        <f>B73*(CPI!B29/CPI!B28)</f>
        <v>13.465175089409902</v>
      </c>
      <c r="C74" s="513" t="s">
        <v>493</v>
      </c>
    </row>
    <row r="75" spans="1:3" hidden="1" x14ac:dyDescent="0.25">
      <c r="A75" s="486" t="s">
        <v>173</v>
      </c>
      <c r="B75" s="556">
        <v>3.7999999999999999E-2</v>
      </c>
      <c r="C75" s="557" t="s">
        <v>330</v>
      </c>
    </row>
    <row r="76" spans="1:3" hidden="1" x14ac:dyDescent="0.25">
      <c r="A76" s="486" t="s">
        <v>174</v>
      </c>
      <c r="B76" s="556">
        <v>2.7E-2</v>
      </c>
      <c r="C76" s="557" t="s">
        <v>330</v>
      </c>
    </row>
    <row r="77" spans="1:3" hidden="1" x14ac:dyDescent="0.25">
      <c r="A77" s="486" t="s">
        <v>175</v>
      </c>
      <c r="B77" s="556">
        <v>1.9E-2</v>
      </c>
      <c r="C77" s="557" t="s">
        <v>330</v>
      </c>
    </row>
    <row r="78" spans="1:3" hidden="1" x14ac:dyDescent="0.25">
      <c r="A78" s="486" t="s">
        <v>176</v>
      </c>
      <c r="B78" s="556">
        <v>8.9999999999999993E-3</v>
      </c>
      <c r="C78" s="557" t="s">
        <v>330</v>
      </c>
    </row>
    <row r="79" spans="1:3" hidden="1" x14ac:dyDescent="0.25">
      <c r="A79" s="486" t="s">
        <v>177</v>
      </c>
      <c r="B79" s="556">
        <v>8.9999999999999993E-3</v>
      </c>
      <c r="C79" s="557" t="s">
        <v>330</v>
      </c>
    </row>
    <row r="80" spans="1:3" hidden="1" x14ac:dyDescent="0.25">
      <c r="A80" s="486" t="s">
        <v>178</v>
      </c>
      <c r="B80" s="556">
        <v>6.0000000000000001E-3</v>
      </c>
      <c r="C80" s="557" t="s">
        <v>330</v>
      </c>
    </row>
    <row r="81" spans="1:3" hidden="1" x14ac:dyDescent="0.25">
      <c r="A81" s="486" t="s">
        <v>179</v>
      </c>
      <c r="B81" s="556">
        <v>6.0000000000000001E-3</v>
      </c>
      <c r="C81" s="557" t="s">
        <v>330</v>
      </c>
    </row>
    <row r="82" spans="1:3" hidden="1" x14ac:dyDescent="0.25">
      <c r="A82" s="486" t="s">
        <v>181</v>
      </c>
      <c r="B82" s="548">
        <f t="shared" ref="B82:B88" si="0">B75*(1/$B$14)*$B$5</f>
        <v>8.7451780015481886E-2</v>
      </c>
      <c r="C82" s="513" t="s">
        <v>331</v>
      </c>
    </row>
    <row r="83" spans="1:3" hidden="1" x14ac:dyDescent="0.25">
      <c r="A83" s="486" t="s">
        <v>182</v>
      </c>
      <c r="B83" s="548">
        <f t="shared" si="0"/>
        <v>6.2136791063631867E-2</v>
      </c>
      <c r="C83" s="513" t="s">
        <v>331</v>
      </c>
    </row>
    <row r="84" spans="1:3" hidden="1" x14ac:dyDescent="0.25">
      <c r="A84" s="486" t="s">
        <v>183</v>
      </c>
      <c r="B84" s="548">
        <f t="shared" si="0"/>
        <v>4.3725890007740943E-2</v>
      </c>
      <c r="C84" s="513" t="s">
        <v>331</v>
      </c>
    </row>
    <row r="85" spans="1:3" hidden="1" x14ac:dyDescent="0.25">
      <c r="A85" s="486" t="s">
        <v>184</v>
      </c>
      <c r="B85" s="548">
        <f t="shared" si="0"/>
        <v>2.0712263687877288E-2</v>
      </c>
      <c r="C85" s="513" t="s">
        <v>331</v>
      </c>
    </row>
    <row r="86" spans="1:3" hidden="1" x14ac:dyDescent="0.25">
      <c r="A86" s="486" t="s">
        <v>185</v>
      </c>
      <c r="B86" s="548">
        <f t="shared" si="0"/>
        <v>2.0712263687877288E-2</v>
      </c>
      <c r="C86" s="513" t="s">
        <v>331</v>
      </c>
    </row>
    <row r="87" spans="1:3" hidden="1" x14ac:dyDescent="0.25">
      <c r="A87" s="513" t="s">
        <v>186</v>
      </c>
      <c r="B87" s="561">
        <f t="shared" si="0"/>
        <v>1.3808175791918191E-2</v>
      </c>
      <c r="C87" s="513" t="s">
        <v>331</v>
      </c>
    </row>
    <row r="88" spans="1:3" hidden="1" x14ac:dyDescent="0.25">
      <c r="A88" s="513" t="s">
        <v>187</v>
      </c>
      <c r="B88" s="561">
        <f t="shared" si="0"/>
        <v>1.3808175791918191E-2</v>
      </c>
      <c r="C88" s="513" t="s">
        <v>331</v>
      </c>
    </row>
    <row r="89" spans="1:3" x14ac:dyDescent="0.25">
      <c r="A89" s="513" t="s">
        <v>461</v>
      </c>
      <c r="B89" s="561">
        <f>B82*(CPI!B29/CPI!B23)</f>
        <v>9.5163373662890613E-2</v>
      </c>
      <c r="C89" s="513" t="s">
        <v>331</v>
      </c>
    </row>
    <row r="90" spans="1:3" x14ac:dyDescent="0.25">
      <c r="A90" s="513" t="s">
        <v>462</v>
      </c>
      <c r="B90" s="561">
        <f>B83*(CPI!B29/CPI!B23)</f>
        <v>6.7616081286790697E-2</v>
      </c>
      <c r="C90" s="513" t="s">
        <v>331</v>
      </c>
    </row>
    <row r="91" spans="1:3" x14ac:dyDescent="0.25">
      <c r="A91" s="513" t="s">
        <v>463</v>
      </c>
      <c r="B91" s="561">
        <f>B84*(CPI!B29/CPI!B23)</f>
        <v>4.7581686831445306E-2</v>
      </c>
      <c r="C91" s="513" t="s">
        <v>331</v>
      </c>
    </row>
    <row r="92" spans="1:3" x14ac:dyDescent="0.25">
      <c r="A92" s="513" t="s">
        <v>464</v>
      </c>
      <c r="B92" s="561">
        <f>B85*(CPI!B29/CPI!B23)</f>
        <v>2.2538693762263563E-2</v>
      </c>
      <c r="C92" s="513" t="s">
        <v>331</v>
      </c>
    </row>
    <row r="93" spans="1:3" x14ac:dyDescent="0.25">
      <c r="A93" s="513" t="s">
        <v>465</v>
      </c>
      <c r="B93" s="561">
        <f>B86*(CPI!B29/CPI!B23)</f>
        <v>2.2538693762263563E-2</v>
      </c>
      <c r="C93" s="513" t="s">
        <v>331</v>
      </c>
    </row>
    <row r="94" spans="1:3" x14ac:dyDescent="0.25">
      <c r="A94" s="513" t="s">
        <v>466</v>
      </c>
      <c r="B94" s="561">
        <f>B87*(CPI!B29/CPI!B23)</f>
        <v>1.5025795841509043E-2</v>
      </c>
      <c r="C94" s="513" t="s">
        <v>331</v>
      </c>
    </row>
    <row r="95" spans="1:3" x14ac:dyDescent="0.25">
      <c r="A95" s="513" t="s">
        <v>467</v>
      </c>
      <c r="B95" s="561">
        <f>B88*(CPI!B29/CPI!B23)</f>
        <v>1.5025795841509043E-2</v>
      </c>
      <c r="C95" s="513" t="s">
        <v>331</v>
      </c>
    </row>
    <row r="96" spans="1:3" x14ac:dyDescent="0.25">
      <c r="A96" s="486" t="s">
        <v>468</v>
      </c>
      <c r="B96" s="548">
        <f>SUM(B89:B95)</f>
        <v>0.28549012098867182</v>
      </c>
      <c r="C96" s="486" t="s">
        <v>331</v>
      </c>
    </row>
    <row r="97" spans="1:3" x14ac:dyDescent="0.25">
      <c r="A97" s="486" t="s">
        <v>337</v>
      </c>
      <c r="B97" s="568">
        <v>2</v>
      </c>
      <c r="C97" s="486" t="s">
        <v>340</v>
      </c>
    </row>
    <row r="98" spans="1:3" x14ac:dyDescent="0.25">
      <c r="A98" s="486" t="s">
        <v>469</v>
      </c>
      <c r="B98" s="548">
        <f>B96*B97</f>
        <v>0.57098024197734365</v>
      </c>
      <c r="C98" s="486" t="s">
        <v>331</v>
      </c>
    </row>
    <row r="99" spans="1:3" x14ac:dyDescent="0.25">
      <c r="A99" s="513" t="s">
        <v>354</v>
      </c>
      <c r="B99" s="549">
        <v>0.25</v>
      </c>
      <c r="C99" s="513" t="s">
        <v>341</v>
      </c>
    </row>
    <row r="100" spans="1:3" hidden="1" x14ac:dyDescent="0.25">
      <c r="A100" s="513" t="s">
        <v>343</v>
      </c>
      <c r="B100" s="483">
        <v>128</v>
      </c>
      <c r="C100" s="450" t="s">
        <v>342</v>
      </c>
    </row>
    <row r="101" spans="1:3" x14ac:dyDescent="0.25">
      <c r="A101" s="513" t="s">
        <v>470</v>
      </c>
      <c r="B101" s="483">
        <f>B100*(CPI!B29/CPI!B18)</f>
        <v>155.51666837344254</v>
      </c>
      <c r="C101" s="513" t="s">
        <v>344</v>
      </c>
    </row>
    <row r="102" spans="1:3" hidden="1" x14ac:dyDescent="0.25">
      <c r="A102" s="562" t="s">
        <v>369</v>
      </c>
      <c r="B102" s="563">
        <v>585.97</v>
      </c>
      <c r="C102" s="562" t="s">
        <v>368</v>
      </c>
    </row>
    <row r="103" spans="1:3" hidden="1" x14ac:dyDescent="0.25">
      <c r="A103" s="562" t="s">
        <v>361</v>
      </c>
      <c r="B103" s="563">
        <f>B102*(CPI!B29/CPI!B18)</f>
        <v>711.93829817801668</v>
      </c>
      <c r="C103" s="562" t="s">
        <v>368</v>
      </c>
    </row>
    <row r="104" spans="1:3" x14ac:dyDescent="0.25">
      <c r="A104" s="513" t="s">
        <v>328</v>
      </c>
      <c r="B104" s="487">
        <v>0.42099999999999999</v>
      </c>
      <c r="C104" s="450" t="s">
        <v>516</v>
      </c>
    </row>
    <row r="105" spans="1:3" hidden="1" x14ac:dyDescent="0.25">
      <c r="A105" s="513" t="s">
        <v>333</v>
      </c>
      <c r="B105" s="569">
        <v>2.9899999999999999E-2</v>
      </c>
      <c r="C105" s="486" t="s">
        <v>330</v>
      </c>
    </row>
    <row r="106" spans="1:3" hidden="1" x14ac:dyDescent="0.25">
      <c r="A106" s="513" t="s">
        <v>334</v>
      </c>
      <c r="B106" s="569">
        <v>7.0300000000000001E-2</v>
      </c>
      <c r="C106" s="486" t="s">
        <v>330</v>
      </c>
    </row>
    <row r="107" spans="1:3" hidden="1" x14ac:dyDescent="0.25">
      <c r="A107" s="513" t="s">
        <v>335</v>
      </c>
      <c r="B107" s="548">
        <f>B105*$B$5</f>
        <v>4.2756999999999996E-2</v>
      </c>
      <c r="C107" s="486" t="s">
        <v>331</v>
      </c>
    </row>
    <row r="108" spans="1:3" x14ac:dyDescent="0.25">
      <c r="A108" s="513" t="s">
        <v>336</v>
      </c>
      <c r="B108" s="548">
        <f>B106*$B$5</f>
        <v>0.10052899999999999</v>
      </c>
      <c r="C108" s="486" t="s">
        <v>331</v>
      </c>
    </row>
    <row r="109" spans="1:3" x14ac:dyDescent="0.25">
      <c r="A109" s="513" t="s">
        <v>471</v>
      </c>
      <c r="B109" s="548">
        <f>B107*(CPI!B29/CPI!B23)</f>
        <v>4.6527359042707675E-2</v>
      </c>
      <c r="C109" s="486" t="s">
        <v>331</v>
      </c>
    </row>
    <row r="110" spans="1:3" x14ac:dyDescent="0.25">
      <c r="A110" s="513" t="s">
        <v>472</v>
      </c>
      <c r="B110" s="548">
        <f>B108*(CPI!B29/CPI!B23)</f>
        <v>0.10939375721412541</v>
      </c>
      <c r="C110" s="486" t="s">
        <v>331</v>
      </c>
    </row>
    <row r="111" spans="1:3" x14ac:dyDescent="0.25">
      <c r="A111" s="513" t="s">
        <v>474</v>
      </c>
      <c r="B111" s="548">
        <f>B110*60</f>
        <v>6.5636254328475241</v>
      </c>
      <c r="C111" s="486" t="s">
        <v>331</v>
      </c>
    </row>
    <row r="112" spans="1:3" x14ac:dyDescent="0.25">
      <c r="A112" s="513" t="s">
        <v>475</v>
      </c>
      <c r="B112" s="548">
        <f>B109*60</f>
        <v>2.7916415425624606</v>
      </c>
      <c r="C112" s="486" t="s">
        <v>331</v>
      </c>
    </row>
    <row r="113" spans="1:3" hidden="1" x14ac:dyDescent="0.25">
      <c r="A113" s="513" t="s">
        <v>345</v>
      </c>
      <c r="B113" s="561">
        <v>10</v>
      </c>
      <c r="C113" s="513" t="s">
        <v>344</v>
      </c>
    </row>
    <row r="114" spans="1:3" x14ac:dyDescent="0.25">
      <c r="A114" s="513" t="s">
        <v>473</v>
      </c>
      <c r="B114" s="560">
        <f>B113*(CPI!B29/CPI!B18)</f>
        <v>12.149739716675199</v>
      </c>
      <c r="C114" s="513" t="s">
        <v>342</v>
      </c>
    </row>
    <row r="115" spans="1:3" hidden="1" x14ac:dyDescent="0.25">
      <c r="A115" s="562" t="s">
        <v>365</v>
      </c>
      <c r="B115" s="563">
        <v>19.670000000000002</v>
      </c>
      <c r="C115" s="562" t="s">
        <v>338</v>
      </c>
    </row>
    <row r="116" spans="1:3" hidden="1" x14ac:dyDescent="0.25">
      <c r="A116" s="562" t="s">
        <v>476</v>
      </c>
      <c r="B116" s="563">
        <f>B115*(CPI!B29/CPI!B17)</f>
        <v>24.708229093876831</v>
      </c>
      <c r="C116" s="562" t="s">
        <v>339</v>
      </c>
    </row>
    <row r="117" spans="1:3" hidden="1" x14ac:dyDescent="0.25">
      <c r="A117" s="562" t="s">
        <v>366</v>
      </c>
      <c r="B117" s="562">
        <v>4</v>
      </c>
      <c r="C117" s="562" t="s">
        <v>340</v>
      </c>
    </row>
    <row r="118" spans="1:3" hidden="1" x14ac:dyDescent="0.25">
      <c r="A118" s="562" t="s">
        <v>477</v>
      </c>
      <c r="B118" s="563">
        <f>B116/B117</f>
        <v>6.1770572734692077</v>
      </c>
      <c r="C118" s="562" t="s">
        <v>339</v>
      </c>
    </row>
    <row r="119" spans="1:3" hidden="1" x14ac:dyDescent="0.25">
      <c r="A119" s="562" t="s">
        <v>478</v>
      </c>
      <c r="B119" s="563">
        <f>B118</f>
        <v>6.1770572734692077</v>
      </c>
      <c r="C119" s="562" t="s">
        <v>341</v>
      </c>
    </row>
    <row r="120" spans="1:3" x14ac:dyDescent="0.25">
      <c r="A120" s="486"/>
      <c r="B120" s="558"/>
      <c r="C120" s="486"/>
    </row>
    <row r="121" spans="1:3" x14ac:dyDescent="0.25">
      <c r="A121" s="567" t="s">
        <v>233</v>
      </c>
      <c r="B121" s="558"/>
      <c r="C121" s="486"/>
    </row>
    <row r="122" spans="1:3" hidden="1" x14ac:dyDescent="0.25">
      <c r="A122" s="486" t="s">
        <v>208</v>
      </c>
      <c r="B122" s="570">
        <v>2032</v>
      </c>
      <c r="C122" s="513" t="s">
        <v>493</v>
      </c>
    </row>
    <row r="123" spans="1:3" hidden="1" x14ac:dyDescent="0.25">
      <c r="A123" s="486" t="s">
        <v>209</v>
      </c>
      <c r="B123" s="570">
        <v>8010</v>
      </c>
      <c r="C123" s="486" t="s">
        <v>493</v>
      </c>
    </row>
    <row r="124" spans="1:3" hidden="1" x14ac:dyDescent="0.25">
      <c r="A124" s="486" t="s">
        <v>210</v>
      </c>
      <c r="B124" s="570">
        <v>366414</v>
      </c>
      <c r="C124" s="486" t="s">
        <v>493</v>
      </c>
    </row>
    <row r="125" spans="1:3" hidden="1" x14ac:dyDescent="0.25">
      <c r="A125" s="486" t="s">
        <v>211</v>
      </c>
      <c r="B125" s="570">
        <v>47341</v>
      </c>
      <c r="C125" s="486" t="s">
        <v>493</v>
      </c>
    </row>
    <row r="126" spans="1:3" x14ac:dyDescent="0.25">
      <c r="A126" s="486" t="s">
        <v>479</v>
      </c>
      <c r="B126" s="571">
        <f>B122*(CPI!$B$29/CPI!$B$28)</f>
        <v>2034.2926231733029</v>
      </c>
      <c r="C126" s="486" t="s">
        <v>494</v>
      </c>
    </row>
    <row r="127" spans="1:3" x14ac:dyDescent="0.25">
      <c r="A127" s="486" t="s">
        <v>480</v>
      </c>
      <c r="B127" s="571">
        <f>B123*(CPI!$B$29/CPI!$B$28)</f>
        <v>8019.0373580798005</v>
      </c>
      <c r="C127" s="486" t="s">
        <v>494</v>
      </c>
    </row>
    <row r="128" spans="1:3" x14ac:dyDescent="0.25">
      <c r="A128" s="513" t="s">
        <v>481</v>
      </c>
      <c r="B128" s="483">
        <f>B124*(CPI!$B$29/CPI!$B$28)</f>
        <v>366827.41005286545</v>
      </c>
      <c r="C128" s="513" t="s">
        <v>494</v>
      </c>
    </row>
    <row r="129" spans="1:3" x14ac:dyDescent="0.25">
      <c r="A129" s="513" t="s">
        <v>482</v>
      </c>
      <c r="B129" s="483">
        <f>B125*(CPI!$B$29/CPI!$B$28)</f>
        <v>47394.412929944549</v>
      </c>
      <c r="C129" s="513" t="s">
        <v>494</v>
      </c>
    </row>
    <row r="130" spans="1:3" x14ac:dyDescent="0.25">
      <c r="A130" s="486" t="s">
        <v>301</v>
      </c>
      <c r="B130" s="486">
        <v>1.034</v>
      </c>
      <c r="C130" s="513" t="s">
        <v>327</v>
      </c>
    </row>
    <row r="131" spans="1:3" x14ac:dyDescent="0.25">
      <c r="A131" s="486" t="s">
        <v>302</v>
      </c>
      <c r="B131" s="486">
        <v>0.69299999999999995</v>
      </c>
      <c r="C131" s="513" t="s">
        <v>327</v>
      </c>
    </row>
    <row r="132" spans="1:3" x14ac:dyDescent="0.25">
      <c r="A132" s="486" t="s">
        <v>325</v>
      </c>
      <c r="B132" s="486">
        <v>4.4000000000000003E-3</v>
      </c>
      <c r="C132" s="513" t="s">
        <v>327</v>
      </c>
    </row>
    <row r="133" spans="1:3" x14ac:dyDescent="0.25">
      <c r="A133" s="486" t="s">
        <v>326</v>
      </c>
      <c r="B133" s="486">
        <v>4.1000000000000002E-2</v>
      </c>
      <c r="C133" s="513" t="s">
        <v>327</v>
      </c>
    </row>
    <row r="134" spans="1:3" x14ac:dyDescent="0.25">
      <c r="A134" s="486" t="s">
        <v>303</v>
      </c>
      <c r="B134" s="486">
        <v>368.4</v>
      </c>
      <c r="C134" s="513" t="s">
        <v>327</v>
      </c>
    </row>
    <row r="135" spans="1:3" x14ac:dyDescent="0.25">
      <c r="A135" s="486" t="s">
        <v>304</v>
      </c>
      <c r="B135" s="486">
        <v>4.1489999999999999E-2</v>
      </c>
      <c r="C135" s="513" t="s">
        <v>327</v>
      </c>
    </row>
    <row r="136" spans="1:3" x14ac:dyDescent="0.25">
      <c r="A136" s="513" t="s">
        <v>483</v>
      </c>
      <c r="B136" s="572">
        <v>1.841</v>
      </c>
      <c r="C136" s="450" t="s">
        <v>484</v>
      </c>
    </row>
    <row r="137" spans="1:3" x14ac:dyDescent="0.25">
      <c r="A137" s="513" t="s">
        <v>324</v>
      </c>
      <c r="B137" s="513">
        <v>0.7</v>
      </c>
      <c r="C137" s="513" t="s">
        <v>320</v>
      </c>
    </row>
    <row r="138" spans="1:3" x14ac:dyDescent="0.25">
      <c r="A138" s="513" t="s">
        <v>305</v>
      </c>
      <c r="B138" s="513">
        <v>0.1</v>
      </c>
      <c r="C138" s="513" t="s">
        <v>391</v>
      </c>
    </row>
    <row r="139" spans="1:3" x14ac:dyDescent="0.25">
      <c r="A139" s="513" t="s">
        <v>392</v>
      </c>
      <c r="B139" s="573">
        <f>(4.61/2500)*12</f>
        <v>2.2128000000000002E-2</v>
      </c>
      <c r="C139" s="513" t="s">
        <v>393</v>
      </c>
    </row>
    <row r="140" spans="1:3" x14ac:dyDescent="0.25">
      <c r="A140" s="513" t="s">
        <v>517</v>
      </c>
      <c r="B140" s="573">
        <f>B139*(CPI!$B$29/CPI!$B$28)</f>
        <v>2.2152966124792742E-2</v>
      </c>
      <c r="C140" s="513" t="s">
        <v>518</v>
      </c>
    </row>
    <row r="141" spans="1:3" x14ac:dyDescent="0.25">
      <c r="A141" s="513" t="s">
        <v>315</v>
      </c>
      <c r="B141" s="513">
        <f>10.84+12.29+12.2+8.8</f>
        <v>44.129999999999995</v>
      </c>
      <c r="C141" s="551" t="s">
        <v>321</v>
      </c>
    </row>
    <row r="142" spans="1:3" x14ac:dyDescent="0.25">
      <c r="A142" s="562" t="s">
        <v>423</v>
      </c>
      <c r="B142" s="564">
        <v>0.05</v>
      </c>
      <c r="C142" s="562" t="s">
        <v>342</v>
      </c>
    </row>
    <row r="143" spans="1:3" x14ac:dyDescent="0.25">
      <c r="A143" s="562" t="s">
        <v>371</v>
      </c>
      <c r="B143" s="564">
        <v>1.3299999999999999E-2</v>
      </c>
      <c r="C143" s="562"/>
    </row>
    <row r="144" spans="1:3" x14ac:dyDescent="0.25">
      <c r="A144" s="513"/>
      <c r="B144" s="574"/>
      <c r="C144" s="486"/>
    </row>
    <row r="145" spans="1:3" x14ac:dyDescent="0.25">
      <c r="A145" s="567" t="s">
        <v>356</v>
      </c>
      <c r="B145" s="558"/>
      <c r="C145" s="486"/>
    </row>
    <row r="146" spans="1:3" hidden="1" x14ac:dyDescent="0.25">
      <c r="A146" s="513" t="s">
        <v>491</v>
      </c>
      <c r="B146" s="561">
        <v>4198</v>
      </c>
      <c r="C146" s="513" t="s">
        <v>493</v>
      </c>
    </row>
    <row r="147" spans="1:3" hidden="1" x14ac:dyDescent="0.25">
      <c r="A147" s="513" t="s">
        <v>269</v>
      </c>
      <c r="B147" s="483">
        <v>28800</v>
      </c>
      <c r="C147" s="486" t="s">
        <v>493</v>
      </c>
    </row>
    <row r="148" spans="1:3" hidden="1" x14ac:dyDescent="0.25">
      <c r="A148" s="513" t="s">
        <v>270</v>
      </c>
      <c r="B148" s="483">
        <v>451200</v>
      </c>
      <c r="C148" s="486" t="s">
        <v>493</v>
      </c>
    </row>
    <row r="149" spans="1:3" hidden="1" x14ac:dyDescent="0.25">
      <c r="A149" s="513" t="s">
        <v>271</v>
      </c>
      <c r="B149" s="483">
        <v>1008000</v>
      </c>
      <c r="C149" s="486" t="s">
        <v>493</v>
      </c>
    </row>
    <row r="150" spans="1:3" hidden="1" x14ac:dyDescent="0.25">
      <c r="A150" s="513" t="s">
        <v>272</v>
      </c>
      <c r="B150" s="483">
        <v>2553600</v>
      </c>
      <c r="C150" s="486" t="s">
        <v>493</v>
      </c>
    </row>
    <row r="151" spans="1:3" hidden="1" x14ac:dyDescent="0.25">
      <c r="A151" s="513" t="s">
        <v>273</v>
      </c>
      <c r="B151" s="483">
        <v>5692800</v>
      </c>
      <c r="C151" s="486" t="s">
        <v>493</v>
      </c>
    </row>
    <row r="152" spans="1:3" hidden="1" x14ac:dyDescent="0.25">
      <c r="A152" s="513" t="s">
        <v>274</v>
      </c>
      <c r="B152" s="483">
        <v>9600000</v>
      </c>
      <c r="C152" s="486" t="s">
        <v>493</v>
      </c>
    </row>
    <row r="153" spans="1:3" x14ac:dyDescent="0.25">
      <c r="A153" s="513" t="s">
        <v>492</v>
      </c>
      <c r="B153" s="483">
        <f>B146*(CPI!$B$29/CPI!$B$28)</f>
        <v>4202.7364331109866</v>
      </c>
      <c r="C153" s="486" t="s">
        <v>494</v>
      </c>
    </row>
    <row r="154" spans="1:3" x14ac:dyDescent="0.25">
      <c r="A154" s="513" t="s">
        <v>485</v>
      </c>
      <c r="B154" s="571">
        <f>B147*(CPI!$B$29/CPI!$B$28)</f>
        <v>28832.4938717476</v>
      </c>
      <c r="C154" s="486" t="s">
        <v>494</v>
      </c>
    </row>
    <row r="155" spans="1:3" x14ac:dyDescent="0.25">
      <c r="A155" s="513" t="s">
        <v>486</v>
      </c>
      <c r="B155" s="571">
        <f>B148*(CPI!$B$29/CPI!$B$28)</f>
        <v>451709.07065737905</v>
      </c>
      <c r="C155" s="486" t="s">
        <v>494</v>
      </c>
    </row>
    <row r="156" spans="1:3" x14ac:dyDescent="0.25">
      <c r="A156" s="513" t="s">
        <v>487</v>
      </c>
      <c r="B156" s="571">
        <f>B149*(CPI!$B$29/CPI!$B$28)</f>
        <v>1009137.285511166</v>
      </c>
      <c r="C156" s="486" t="s">
        <v>494</v>
      </c>
    </row>
    <row r="157" spans="1:3" x14ac:dyDescent="0.25">
      <c r="A157" s="513" t="s">
        <v>488</v>
      </c>
      <c r="B157" s="571">
        <f>B150*(CPI!$B$29/CPI!$B$28)</f>
        <v>2556481.1232949537</v>
      </c>
      <c r="C157" s="486" t="s">
        <v>494</v>
      </c>
    </row>
    <row r="158" spans="1:3" x14ac:dyDescent="0.25">
      <c r="A158" s="513" t="s">
        <v>489</v>
      </c>
      <c r="B158" s="571">
        <f>B151*(CPI!$B$29/CPI!$B$28)</f>
        <v>5699222.9553154418</v>
      </c>
      <c r="C158" s="486" t="s">
        <v>494</v>
      </c>
    </row>
    <row r="159" spans="1:3" x14ac:dyDescent="0.25">
      <c r="A159" s="513" t="s">
        <v>490</v>
      </c>
      <c r="B159" s="571">
        <f>B152*(CPI!$B$29/CPI!$B$28)</f>
        <v>9610831.2905825321</v>
      </c>
      <c r="C159" s="486" t="s">
        <v>494</v>
      </c>
    </row>
    <row r="160" spans="1:3" x14ac:dyDescent="0.25">
      <c r="A160" s="513" t="s">
        <v>308</v>
      </c>
      <c r="B160" s="513">
        <v>0.67</v>
      </c>
      <c r="C160" s="513" t="s">
        <v>310</v>
      </c>
    </row>
    <row r="161" spans="1:3" x14ac:dyDescent="0.25">
      <c r="A161" s="513" t="s">
        <v>309</v>
      </c>
      <c r="B161" s="513">
        <f>(B160+B162)/2</f>
        <v>0.39</v>
      </c>
      <c r="C161" s="513" t="s">
        <v>311</v>
      </c>
    </row>
    <row r="162" spans="1:3" x14ac:dyDescent="0.25">
      <c r="A162" s="513" t="s">
        <v>307</v>
      </c>
      <c r="B162" s="513">
        <v>0.11</v>
      </c>
      <c r="C162" s="513" t="s">
        <v>310</v>
      </c>
    </row>
    <row r="163" spans="1:3" x14ac:dyDescent="0.25">
      <c r="A163" s="513" t="s">
        <v>312</v>
      </c>
      <c r="B163" s="549">
        <f>(B164*2)-B165</f>
        <v>0.25</v>
      </c>
      <c r="C163" s="612" t="s">
        <v>815</v>
      </c>
    </row>
    <row r="164" spans="1:3" x14ac:dyDescent="0.25">
      <c r="A164" s="513" t="s">
        <v>313</v>
      </c>
      <c r="B164" s="513">
        <v>0.4</v>
      </c>
      <c r="C164" s="513" t="s">
        <v>306</v>
      </c>
    </row>
    <row r="165" spans="1:3" x14ac:dyDescent="0.25">
      <c r="A165" s="513" t="s">
        <v>314</v>
      </c>
      <c r="B165" s="549">
        <v>0.55000000000000004</v>
      </c>
      <c r="C165" s="513" t="s">
        <v>306</v>
      </c>
    </row>
    <row r="166" spans="1:3" hidden="1" x14ac:dyDescent="0.25">
      <c r="A166" s="562" t="s">
        <v>370</v>
      </c>
      <c r="B166" s="562">
        <v>1.1900000000000001E-2</v>
      </c>
      <c r="C166" s="562" t="s">
        <v>216</v>
      </c>
    </row>
    <row r="169" spans="1:3" x14ac:dyDescent="0.25">
      <c r="B169" s="613"/>
    </row>
    <row r="197" spans="2:2" x14ac:dyDescent="0.25">
      <c r="B197" s="450">
        <f>30*5</f>
        <v>150</v>
      </c>
    </row>
  </sheetData>
  <sheetProtection password="891C" sheet="1" objects="1" scenarios="1"/>
  <hyperlinks>
    <hyperlink ref="C18" r:id="rId1"/>
    <hyperlink ref="C141" r:id="rId2"/>
    <hyperlink ref="C4" r:id="rId3"/>
    <hyperlink ref="C163" r:id="rId4" display="http://www.nyc.gov/html/om/pdf/bike_lanes_memo.pdf"/>
  </hyperlinks>
  <pageMargins left="0.7" right="0.7" top="0.75" bottom="0.75" header="0.3" footer="0.3"/>
  <pageSetup orientation="portrait" horizontalDpi="0" verticalDpi="0"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80" zoomScaleNormal="80" workbookViewId="0">
      <selection activeCell="K18" sqref="K18"/>
    </sheetView>
  </sheetViews>
  <sheetFormatPr defaultRowHeight="15" x14ac:dyDescent="0.25"/>
  <cols>
    <col min="1" max="1" width="9.140625" style="3"/>
    <col min="2" max="2" width="24.7109375" style="3" customWidth="1"/>
    <col min="3" max="16384" width="9.140625" style="3"/>
  </cols>
  <sheetData>
    <row r="1" spans="1:8" ht="15.75" thickBot="1" x14ac:dyDescent="0.3">
      <c r="A1" s="12"/>
      <c r="B1" s="12"/>
    </row>
    <row r="2" spans="1:8" x14ac:dyDescent="0.25">
      <c r="A2" s="13" t="s">
        <v>132</v>
      </c>
      <c r="B2" s="14" t="s">
        <v>159</v>
      </c>
      <c r="C2" s="309"/>
      <c r="D2" s="309"/>
      <c r="E2" s="309"/>
    </row>
    <row r="3" spans="1:8" x14ac:dyDescent="0.25">
      <c r="A3" s="205">
        <v>1990</v>
      </c>
      <c r="B3" s="16">
        <v>130.69999999999999</v>
      </c>
      <c r="C3" s="309"/>
      <c r="D3" s="309"/>
      <c r="E3" s="309"/>
    </row>
    <row r="4" spans="1:8" x14ac:dyDescent="0.25">
      <c r="A4" s="15">
        <v>1991</v>
      </c>
      <c r="B4" s="16">
        <v>136.19999999999999</v>
      </c>
      <c r="C4" s="309">
        <f>(B4-B3)/B3</f>
        <v>4.2081101759755171E-2</v>
      </c>
      <c r="D4" s="309"/>
      <c r="E4" s="309"/>
    </row>
    <row r="5" spans="1:8" x14ac:dyDescent="0.25">
      <c r="A5" s="15">
        <v>1992</v>
      </c>
      <c r="B5" s="16">
        <v>140.30000000000001</v>
      </c>
      <c r="C5" s="309">
        <f t="shared" ref="C5:C29" si="0">(B5-B4)/B4</f>
        <v>3.0102790014684456E-2</v>
      </c>
      <c r="D5" s="309"/>
      <c r="E5" s="309"/>
    </row>
    <row r="6" spans="1:8" x14ac:dyDescent="0.25">
      <c r="A6" s="15">
        <v>1993</v>
      </c>
      <c r="B6" s="16">
        <v>144.5</v>
      </c>
      <c r="C6" s="309">
        <f t="shared" si="0"/>
        <v>2.9935851746257933E-2</v>
      </c>
      <c r="D6" s="309"/>
      <c r="E6" s="309"/>
    </row>
    <row r="7" spans="1:8" x14ac:dyDescent="0.25">
      <c r="A7" s="15">
        <v>1994</v>
      </c>
      <c r="B7" s="16">
        <v>148.19999999999999</v>
      </c>
      <c r="C7" s="309">
        <f t="shared" si="0"/>
        <v>2.5605536332179851E-2</v>
      </c>
      <c r="D7" s="309"/>
      <c r="E7" s="309"/>
    </row>
    <row r="8" spans="1:8" x14ac:dyDescent="0.25">
      <c r="A8" s="15">
        <v>1995</v>
      </c>
      <c r="B8" s="16">
        <v>152.4</v>
      </c>
      <c r="C8" s="309">
        <f t="shared" si="0"/>
        <v>2.8340080971660037E-2</v>
      </c>
      <c r="D8" s="309"/>
      <c r="E8" s="309"/>
    </row>
    <row r="9" spans="1:8" x14ac:dyDescent="0.25">
      <c r="A9" s="15">
        <v>1996</v>
      </c>
      <c r="B9" s="16">
        <v>156.9</v>
      </c>
      <c r="C9" s="309">
        <f t="shared" si="0"/>
        <v>2.952755905511811E-2</v>
      </c>
      <c r="D9" s="309"/>
      <c r="E9" s="309"/>
    </row>
    <row r="10" spans="1:8" x14ac:dyDescent="0.25">
      <c r="A10" s="15">
        <v>1997</v>
      </c>
      <c r="B10" s="16">
        <v>160.5</v>
      </c>
      <c r="C10" s="309">
        <f t="shared" si="0"/>
        <v>2.2944550669216024E-2</v>
      </c>
      <c r="D10" s="309"/>
      <c r="E10" s="309"/>
    </row>
    <row r="11" spans="1:8" x14ac:dyDescent="0.25">
      <c r="A11" s="15">
        <v>1998</v>
      </c>
      <c r="B11" s="16">
        <v>163</v>
      </c>
      <c r="C11" s="309">
        <f t="shared" si="0"/>
        <v>1.5576323987538941E-2</v>
      </c>
      <c r="D11" s="309"/>
      <c r="E11" s="309"/>
    </row>
    <row r="12" spans="1:8" x14ac:dyDescent="0.25">
      <c r="A12" s="15">
        <v>1999</v>
      </c>
      <c r="B12" s="16">
        <v>166.6</v>
      </c>
      <c r="C12" s="309">
        <f t="shared" si="0"/>
        <v>2.2085889570552113E-2</v>
      </c>
      <c r="D12" s="309"/>
      <c r="E12" s="309"/>
    </row>
    <row r="13" spans="1:8" x14ac:dyDescent="0.25">
      <c r="A13" s="15">
        <v>2000</v>
      </c>
      <c r="B13" s="16">
        <v>172.2</v>
      </c>
      <c r="C13" s="309">
        <f t="shared" si="0"/>
        <v>3.3613445378151224E-2</v>
      </c>
      <c r="D13" s="309"/>
      <c r="E13" s="309"/>
    </row>
    <row r="14" spans="1:8" x14ac:dyDescent="0.25">
      <c r="A14" s="15">
        <v>2001</v>
      </c>
      <c r="B14" s="16">
        <v>177.1</v>
      </c>
      <c r="C14" s="309">
        <f t="shared" si="0"/>
        <v>2.8455284552845562E-2</v>
      </c>
      <c r="D14" s="309"/>
      <c r="E14" s="309"/>
    </row>
    <row r="15" spans="1:8" x14ac:dyDescent="0.25">
      <c r="A15" s="15">
        <v>2002</v>
      </c>
      <c r="B15" s="16">
        <v>179.9</v>
      </c>
      <c r="C15" s="309">
        <f t="shared" si="0"/>
        <v>1.5810276679841962E-2</v>
      </c>
      <c r="D15" s="309"/>
      <c r="E15" s="309"/>
      <c r="H15" s="3">
        <v>13.45</v>
      </c>
    </row>
    <row r="16" spans="1:8" x14ac:dyDescent="0.25">
      <c r="A16" s="15">
        <v>2003</v>
      </c>
      <c r="B16" s="16">
        <v>184</v>
      </c>
      <c r="C16" s="309">
        <f t="shared" si="0"/>
        <v>2.2790439132851552E-2</v>
      </c>
      <c r="D16" s="309"/>
      <c r="E16" s="309"/>
      <c r="H16" s="3">
        <f>(B29/B27)</f>
        <v>1.0023165748625755</v>
      </c>
    </row>
    <row r="17" spans="1:8" x14ac:dyDescent="0.25">
      <c r="A17" s="15">
        <v>2004</v>
      </c>
      <c r="B17" s="16">
        <v>188.9</v>
      </c>
      <c r="C17" s="309">
        <f t="shared" si="0"/>
        <v>2.6630434782608726E-2</v>
      </c>
      <c r="D17" s="309"/>
      <c r="E17" s="309"/>
      <c r="H17" s="614">
        <f>H15*H16</f>
        <v>13.48115793190164</v>
      </c>
    </row>
    <row r="18" spans="1:8" x14ac:dyDescent="0.25">
      <c r="A18" s="15">
        <v>2005</v>
      </c>
      <c r="B18" s="16">
        <v>195.3</v>
      </c>
      <c r="C18" s="309">
        <f t="shared" si="0"/>
        <v>3.3880359978824805E-2</v>
      </c>
      <c r="D18" s="309"/>
      <c r="E18" s="309"/>
    </row>
    <row r="19" spans="1:8" x14ac:dyDescent="0.25">
      <c r="A19" s="15">
        <v>2006</v>
      </c>
      <c r="B19" s="16">
        <v>201.6</v>
      </c>
      <c r="C19" s="309">
        <f t="shared" si="0"/>
        <v>3.2258064516128941E-2</v>
      </c>
      <c r="D19" s="309"/>
      <c r="E19" s="309"/>
    </row>
    <row r="20" spans="1:8" x14ac:dyDescent="0.25">
      <c r="A20" s="15">
        <v>2007</v>
      </c>
      <c r="B20" s="16">
        <v>207.34200000000001</v>
      </c>
      <c r="C20" s="309">
        <f t="shared" si="0"/>
        <v>2.8482142857142949E-2</v>
      </c>
      <c r="D20" s="309"/>
      <c r="E20" s="309"/>
    </row>
    <row r="21" spans="1:8" x14ac:dyDescent="0.25">
      <c r="A21" s="15">
        <v>2008</v>
      </c>
      <c r="B21" s="16">
        <v>215.303</v>
      </c>
      <c r="C21" s="309">
        <f t="shared" si="0"/>
        <v>3.8395501152684856E-2</v>
      </c>
      <c r="D21" s="309"/>
      <c r="E21" s="309"/>
    </row>
    <row r="22" spans="1:8" x14ac:dyDescent="0.25">
      <c r="A22" s="15">
        <v>2009</v>
      </c>
      <c r="B22" s="16">
        <v>214.53700000000001</v>
      </c>
      <c r="C22" s="309">
        <f t="shared" si="0"/>
        <v>-3.5577767146764846E-3</v>
      </c>
      <c r="D22" s="309"/>
      <c r="E22" s="309"/>
    </row>
    <row r="23" spans="1:8" x14ac:dyDescent="0.25">
      <c r="A23" s="15">
        <v>2010</v>
      </c>
      <c r="B23" s="16">
        <v>218.05600000000001</v>
      </c>
      <c r="C23" s="309">
        <f t="shared" si="0"/>
        <v>1.6402765024214963E-2</v>
      </c>
      <c r="D23" s="309"/>
      <c r="E23" s="309"/>
    </row>
    <row r="24" spans="1:8" x14ac:dyDescent="0.25">
      <c r="A24" s="15">
        <v>2011</v>
      </c>
      <c r="B24" s="16">
        <v>224.93899999999999</v>
      </c>
      <c r="C24" s="309">
        <f t="shared" si="0"/>
        <v>3.1565285981582626E-2</v>
      </c>
      <c r="D24" s="309"/>
      <c r="E24" s="309"/>
    </row>
    <row r="25" spans="1:8" x14ac:dyDescent="0.25">
      <c r="A25" s="15">
        <v>2012</v>
      </c>
      <c r="B25" s="16">
        <v>229.59399999999999</v>
      </c>
      <c r="C25" s="309">
        <f t="shared" si="0"/>
        <v>2.0694499397614471E-2</v>
      </c>
      <c r="D25" s="309"/>
      <c r="E25" s="309"/>
    </row>
    <row r="26" spans="1:8" x14ac:dyDescent="0.25">
      <c r="A26" s="17">
        <v>2013</v>
      </c>
      <c r="B26" s="18">
        <v>232.95699999999999</v>
      </c>
      <c r="C26" s="309">
        <f t="shared" si="0"/>
        <v>1.4647595320435202E-2</v>
      </c>
      <c r="D26" s="309"/>
      <c r="E26" s="309"/>
    </row>
    <row r="27" spans="1:8" x14ac:dyDescent="0.25">
      <c r="A27" s="17">
        <v>2014</v>
      </c>
      <c r="B27" s="18">
        <v>236.73599999999999</v>
      </c>
      <c r="C27" s="309">
        <f t="shared" si="0"/>
        <v>1.6221877857286952E-2</v>
      </c>
      <c r="D27" s="309"/>
      <c r="E27" s="309"/>
    </row>
    <row r="28" spans="1:8" x14ac:dyDescent="0.25">
      <c r="A28" s="17">
        <v>2015</v>
      </c>
      <c r="B28" s="18">
        <v>237.017</v>
      </c>
      <c r="C28" s="309">
        <f t="shared" si="0"/>
        <v>1.1869762097864538E-3</v>
      </c>
      <c r="D28" s="309"/>
      <c r="E28" s="309"/>
    </row>
    <row r="29" spans="1:8" x14ac:dyDescent="0.25">
      <c r="A29" s="17" t="s">
        <v>661</v>
      </c>
      <c r="B29" s="18">
        <f>AVERAGE(B41:B52)</f>
        <v>237.28441666666666</v>
      </c>
      <c r="C29" s="309">
        <f t="shared" si="0"/>
        <v>1.1282594356804036E-3</v>
      </c>
      <c r="D29" s="309"/>
      <c r="E29" s="309">
        <f>AVERAGE(C24:C29)</f>
        <v>1.4240749033731017E-2</v>
      </c>
    </row>
    <row r="30" spans="1:8" x14ac:dyDescent="0.25">
      <c r="A30" s="17" t="s">
        <v>660</v>
      </c>
      <c r="B30" s="18">
        <f>B29*(1+$E$29)</f>
        <v>240.66352449403192</v>
      </c>
      <c r="C30" s="309"/>
      <c r="D30" s="309"/>
      <c r="E30" s="309"/>
    </row>
    <row r="31" spans="1:8" x14ac:dyDescent="0.25">
      <c r="A31" s="17" t="s">
        <v>664</v>
      </c>
      <c r="B31" s="18">
        <f t="shared" ref="B31:B35" si="1">B30*(1+$E$29)</f>
        <v>244.09075334792462</v>
      </c>
      <c r="C31" s="309"/>
      <c r="D31" s="309"/>
      <c r="E31" s="309"/>
    </row>
    <row r="32" spans="1:8" x14ac:dyDescent="0.25">
      <c r="A32" s="17" t="s">
        <v>665</v>
      </c>
      <c r="B32" s="18">
        <f t="shared" si="1"/>
        <v>247.56678850780676</v>
      </c>
      <c r="C32" s="309"/>
      <c r="D32" s="309"/>
      <c r="E32" s="309"/>
    </row>
    <row r="33" spans="1:5" x14ac:dyDescent="0.25">
      <c r="A33" s="17" t="s">
        <v>666</v>
      </c>
      <c r="B33" s="18">
        <f t="shared" si="1"/>
        <v>251.09232501203323</v>
      </c>
      <c r="C33" s="309"/>
      <c r="D33" s="309"/>
      <c r="E33" s="309"/>
    </row>
    <row r="34" spans="1:5" x14ac:dyDescent="0.25">
      <c r="A34" s="17" t="s">
        <v>667</v>
      </c>
      <c r="B34" s="18">
        <f t="shared" si="1"/>
        <v>254.66806779682562</v>
      </c>
      <c r="C34" s="309"/>
      <c r="D34" s="309"/>
      <c r="E34" s="309"/>
    </row>
    <row r="35" spans="1:5" ht="15.75" thickBot="1" x14ac:dyDescent="0.3">
      <c r="A35" s="19" t="s">
        <v>668</v>
      </c>
      <c r="B35" s="20">
        <f t="shared" si="1"/>
        <v>258.29473183722541</v>
      </c>
      <c r="C35" s="309"/>
      <c r="D35" s="309"/>
      <c r="E35" s="309"/>
    </row>
    <row r="36" spans="1:5" x14ac:dyDescent="0.25">
      <c r="A36" s="203"/>
      <c r="B36" s="204"/>
    </row>
    <row r="37" spans="1:5" x14ac:dyDescent="0.25">
      <c r="A37" s="12" t="s">
        <v>160</v>
      </c>
      <c r="B37" s="12"/>
    </row>
    <row r="38" spans="1:5" x14ac:dyDescent="0.25">
      <c r="A38" s="667" t="s">
        <v>663</v>
      </c>
      <c r="B38" s="667"/>
    </row>
    <row r="39" spans="1:5" x14ac:dyDescent="0.25">
      <c r="A39" s="667" t="s">
        <v>662</v>
      </c>
      <c r="B39" s="667"/>
    </row>
    <row r="40" spans="1:5" ht="15.75" thickBot="1" x14ac:dyDescent="0.3">
      <c r="A40" s="12"/>
      <c r="B40" s="12"/>
    </row>
    <row r="41" spans="1:5" x14ac:dyDescent="0.25">
      <c r="A41" s="21">
        <v>42036</v>
      </c>
      <c r="B41" s="22">
        <v>234.72200000000001</v>
      </c>
    </row>
    <row r="42" spans="1:5" x14ac:dyDescent="0.25">
      <c r="A42" s="23">
        <v>42064</v>
      </c>
      <c r="B42" s="24">
        <v>236.119</v>
      </c>
    </row>
    <row r="43" spans="1:5" x14ac:dyDescent="0.25">
      <c r="A43" s="23">
        <v>42095</v>
      </c>
      <c r="B43" s="24">
        <v>236.59899999999999</v>
      </c>
    </row>
    <row r="44" spans="1:5" x14ac:dyDescent="0.25">
      <c r="A44" s="23">
        <v>42125</v>
      </c>
      <c r="B44" s="24">
        <v>237.80500000000001</v>
      </c>
    </row>
    <row r="45" spans="1:5" x14ac:dyDescent="0.25">
      <c r="A45" s="23">
        <v>42156</v>
      </c>
      <c r="B45" s="24">
        <v>238.63800000000001</v>
      </c>
    </row>
    <row r="46" spans="1:5" x14ac:dyDescent="0.25">
      <c r="A46" s="23">
        <v>42186</v>
      </c>
      <c r="B46" s="24">
        <v>238.654</v>
      </c>
    </row>
    <row r="47" spans="1:5" x14ac:dyDescent="0.25">
      <c r="A47" s="23">
        <v>42217</v>
      </c>
      <c r="B47" s="24">
        <v>238.316</v>
      </c>
    </row>
    <row r="48" spans="1:5" x14ac:dyDescent="0.25">
      <c r="A48" s="23">
        <v>42248</v>
      </c>
      <c r="B48" s="24">
        <v>237.94499999999999</v>
      </c>
    </row>
    <row r="49" spans="1:2" x14ac:dyDescent="0.25">
      <c r="A49" s="23">
        <v>42278</v>
      </c>
      <c r="B49" s="24">
        <v>237.83799999999999</v>
      </c>
    </row>
    <row r="50" spans="1:2" x14ac:dyDescent="0.25">
      <c r="A50" s="23">
        <v>42309</v>
      </c>
      <c r="B50" s="24">
        <v>237.33600000000001</v>
      </c>
    </row>
    <row r="51" spans="1:2" x14ac:dyDescent="0.25">
      <c r="A51" s="23">
        <v>42339</v>
      </c>
      <c r="B51" s="24">
        <v>236.52500000000001</v>
      </c>
    </row>
    <row r="52" spans="1:2" ht="15.75" thickBot="1" x14ac:dyDescent="0.3">
      <c r="A52" s="25">
        <v>42005</v>
      </c>
      <c r="B52" s="26">
        <v>236.916</v>
      </c>
    </row>
  </sheetData>
  <sheetProtection password="891C" sheet="1" objects="1" scenarios="1"/>
  <mergeCells count="2">
    <mergeCell ref="A38:B38"/>
    <mergeCell ref="A39:B39"/>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80" zoomScaleNormal="80" workbookViewId="0">
      <selection activeCell="R48" sqref="R48"/>
    </sheetView>
  </sheetViews>
  <sheetFormatPr defaultRowHeight="15" x14ac:dyDescent="0.25"/>
  <cols>
    <col min="2" max="2" width="11.42578125" style="28" customWidth="1"/>
    <col min="3" max="3" width="11.7109375" style="28" customWidth="1"/>
  </cols>
  <sheetData>
    <row r="1" spans="1:3" ht="15.75" thickBot="1" x14ac:dyDescent="0.3"/>
    <row r="2" spans="1:3" x14ac:dyDescent="0.25">
      <c r="A2" s="668" t="s">
        <v>290</v>
      </c>
      <c r="B2" s="669"/>
      <c r="C2" s="670"/>
    </row>
    <row r="3" spans="1:3" s="7" customFormat="1" ht="30" x14ac:dyDescent="0.25">
      <c r="A3" s="39" t="s">
        <v>213</v>
      </c>
      <c r="B3" s="94" t="s">
        <v>450</v>
      </c>
      <c r="C3" s="126" t="s">
        <v>451</v>
      </c>
    </row>
    <row r="4" spans="1:3" hidden="1" x14ac:dyDescent="0.25">
      <c r="A4" s="41">
        <v>2010</v>
      </c>
      <c r="B4" s="48">
        <v>35</v>
      </c>
      <c r="C4" s="118">
        <f>(B4*CPI!$B$29)/CPI!$B$28</f>
        <v>35.039489080248813</v>
      </c>
    </row>
    <row r="5" spans="1:3" hidden="1" x14ac:dyDescent="0.25">
      <c r="A5" s="41">
        <v>2011</v>
      </c>
      <c r="B5" s="48">
        <v>36</v>
      </c>
      <c r="C5" s="118">
        <f>(B5*CPI!$B$29)/CPI!$B$28</f>
        <v>36.040617339684495</v>
      </c>
    </row>
    <row r="6" spans="1:3" hidden="1" x14ac:dyDescent="0.25">
      <c r="A6" s="41">
        <v>2012</v>
      </c>
      <c r="B6" s="48">
        <v>37</v>
      </c>
      <c r="C6" s="118">
        <f>(B6*CPI!$B$29)/CPI!$B$28</f>
        <v>37.041745599120176</v>
      </c>
    </row>
    <row r="7" spans="1:3" hidden="1" x14ac:dyDescent="0.25">
      <c r="A7" s="41">
        <v>2013</v>
      </c>
      <c r="B7" s="48">
        <v>38</v>
      </c>
      <c r="C7" s="118">
        <f>(B7*CPI!$B$29)/CPI!$B$28</f>
        <v>38.042873858555851</v>
      </c>
    </row>
    <row r="8" spans="1:3" hidden="1" x14ac:dyDescent="0.25">
      <c r="A8" s="41">
        <v>2014</v>
      </c>
      <c r="B8" s="48">
        <v>39</v>
      </c>
      <c r="C8" s="118">
        <f>(B8*CPI!$B$29)/CPI!$B$28</f>
        <v>39.044002117991539</v>
      </c>
    </row>
    <row r="9" spans="1:3" hidden="1" x14ac:dyDescent="0.25">
      <c r="A9" s="41">
        <v>2015</v>
      </c>
      <c r="B9" s="48">
        <v>41</v>
      </c>
      <c r="C9" s="118">
        <f>(B9*CPI!$B$29)/CPI!$B$28</f>
        <v>41.046258636862895</v>
      </c>
    </row>
    <row r="10" spans="1:3" x14ac:dyDescent="0.25">
      <c r="A10" s="41">
        <v>2016</v>
      </c>
      <c r="B10" s="48">
        <v>43</v>
      </c>
      <c r="C10" s="118">
        <f>(B10*CPI!$B$29)/CPI!$B$28</f>
        <v>43.048515155734258</v>
      </c>
    </row>
    <row r="11" spans="1:3" x14ac:dyDescent="0.25">
      <c r="A11" s="41">
        <v>2017</v>
      </c>
      <c r="B11" s="48">
        <v>44</v>
      </c>
      <c r="C11" s="118">
        <f>(B11*CPI!$B$29)/CPI!$B$28</f>
        <v>44.049643415169939</v>
      </c>
    </row>
    <row r="12" spans="1:3" x14ac:dyDescent="0.25">
      <c r="A12" s="41">
        <v>2018</v>
      </c>
      <c r="B12" s="48">
        <v>45</v>
      </c>
      <c r="C12" s="118">
        <f>(B12*CPI!$B$29)/CPI!$B$28</f>
        <v>45.05077167460562</v>
      </c>
    </row>
    <row r="13" spans="1:3" x14ac:dyDescent="0.25">
      <c r="A13" s="41">
        <v>2019</v>
      </c>
      <c r="B13" s="48">
        <v>46</v>
      </c>
      <c r="C13" s="118">
        <f>(B13*CPI!$B$29)/CPI!$B$28</f>
        <v>46.051899934041295</v>
      </c>
    </row>
    <row r="14" spans="1:3" x14ac:dyDescent="0.25">
      <c r="A14" s="41">
        <v>2020</v>
      </c>
      <c r="B14" s="48">
        <v>47</v>
      </c>
      <c r="C14" s="118">
        <f>(B14*CPI!$B$29)/CPI!$B$28</f>
        <v>47.053028193476976</v>
      </c>
    </row>
    <row r="15" spans="1:3" x14ac:dyDescent="0.25">
      <c r="A15" s="41">
        <v>2021</v>
      </c>
      <c r="B15" s="48">
        <v>47</v>
      </c>
      <c r="C15" s="118">
        <f>(B15*CPI!$B$29)/CPI!$B$28</f>
        <v>47.053028193476976</v>
      </c>
    </row>
    <row r="16" spans="1:3" x14ac:dyDescent="0.25">
      <c r="A16" s="41">
        <v>2022</v>
      </c>
      <c r="B16" s="48">
        <v>48</v>
      </c>
      <c r="C16" s="118">
        <f>(B16*CPI!$B$29)/CPI!$B$28</f>
        <v>48.054156452912665</v>
      </c>
    </row>
    <row r="17" spans="1:3" x14ac:dyDescent="0.25">
      <c r="A17" s="41">
        <v>2023</v>
      </c>
      <c r="B17" s="48">
        <v>50</v>
      </c>
      <c r="C17" s="118">
        <f>(B17*CPI!$B$29)/CPI!$B$28</f>
        <v>50.05641297178402</v>
      </c>
    </row>
    <row r="18" spans="1:3" x14ac:dyDescent="0.25">
      <c r="A18" s="41">
        <v>2024</v>
      </c>
      <c r="B18" s="48">
        <v>51</v>
      </c>
      <c r="C18" s="118">
        <f>(B18*CPI!$B$29)/CPI!$B$28</f>
        <v>51.057541231219702</v>
      </c>
    </row>
    <row r="19" spans="1:3" x14ac:dyDescent="0.25">
      <c r="A19" s="41">
        <v>2025</v>
      </c>
      <c r="B19" s="48">
        <v>52</v>
      </c>
      <c r="C19" s="118">
        <f>(B19*CPI!$B$29)/CPI!$B$28</f>
        <v>52.058669490655376</v>
      </c>
    </row>
    <row r="20" spans="1:3" x14ac:dyDescent="0.25">
      <c r="A20" s="41">
        <v>2026</v>
      </c>
      <c r="B20" s="48">
        <v>53</v>
      </c>
      <c r="C20" s="118">
        <f>(B20*CPI!$B$29)/CPI!$B$28</f>
        <v>53.059797750091064</v>
      </c>
    </row>
    <row r="21" spans="1:3" x14ac:dyDescent="0.25">
      <c r="A21" s="41">
        <v>2027</v>
      </c>
      <c r="B21" s="48">
        <v>54</v>
      </c>
      <c r="C21" s="118">
        <f>(B21*CPI!$B$29)/CPI!$B$28</f>
        <v>54.060926009526746</v>
      </c>
    </row>
    <row r="22" spans="1:3" x14ac:dyDescent="0.25">
      <c r="A22" s="41">
        <v>2028</v>
      </c>
      <c r="B22" s="48">
        <v>55</v>
      </c>
      <c r="C22" s="118">
        <f>(B22*CPI!$B$29)/CPI!$B$28</f>
        <v>55.06205426896242</v>
      </c>
    </row>
    <row r="23" spans="1:3" x14ac:dyDescent="0.25">
      <c r="A23" s="41">
        <v>2029</v>
      </c>
      <c r="B23" s="48">
        <v>55</v>
      </c>
      <c r="C23" s="118">
        <f>(B23*CPI!$B$29)/CPI!$B$28</f>
        <v>55.06205426896242</v>
      </c>
    </row>
    <row r="24" spans="1:3" x14ac:dyDescent="0.25">
      <c r="A24" s="41">
        <v>2030</v>
      </c>
      <c r="B24" s="48">
        <v>56</v>
      </c>
      <c r="C24" s="118">
        <f>(B24*CPI!$B$29)/CPI!$B$28</f>
        <v>56.063182528398102</v>
      </c>
    </row>
    <row r="25" spans="1:3" x14ac:dyDescent="0.25">
      <c r="A25" s="41">
        <v>2031</v>
      </c>
      <c r="B25" s="48">
        <v>58</v>
      </c>
      <c r="C25" s="118">
        <f>(B25*CPI!$B$29)/CPI!$B$28</f>
        <v>58.065439047269464</v>
      </c>
    </row>
    <row r="26" spans="1:3" x14ac:dyDescent="0.25">
      <c r="A26" s="41">
        <v>2032</v>
      </c>
      <c r="B26" s="48">
        <v>59</v>
      </c>
      <c r="C26" s="118">
        <f>(B26*CPI!$B$29)/CPI!$B$28</f>
        <v>59.066567306705146</v>
      </c>
    </row>
    <row r="27" spans="1:3" x14ac:dyDescent="0.25">
      <c r="A27" s="41">
        <v>2033</v>
      </c>
      <c r="B27" s="48">
        <v>60</v>
      </c>
      <c r="C27" s="118">
        <f>(B27*CPI!$B$29)/CPI!$B$28</f>
        <v>60.06769556614082</v>
      </c>
    </row>
    <row r="28" spans="1:3" x14ac:dyDescent="0.25">
      <c r="A28" s="41">
        <v>2034</v>
      </c>
      <c r="B28" s="48">
        <v>61</v>
      </c>
      <c r="C28" s="118">
        <f>(B28*CPI!$B$29)/CPI!$B$28</f>
        <v>61.068823825576501</v>
      </c>
    </row>
    <row r="29" spans="1:3" x14ac:dyDescent="0.25">
      <c r="A29" s="41">
        <v>2035</v>
      </c>
      <c r="B29" s="48">
        <v>62</v>
      </c>
      <c r="C29" s="118">
        <f>(B29*CPI!$B$29)/CPI!$B$28</f>
        <v>62.06995208501219</v>
      </c>
    </row>
    <row r="30" spans="1:3" x14ac:dyDescent="0.25">
      <c r="A30" s="41">
        <v>2036</v>
      </c>
      <c r="B30" s="48">
        <v>63</v>
      </c>
      <c r="C30" s="118">
        <f>(B30*CPI!$B$29)/CPI!$B$28</f>
        <v>63.071080344447864</v>
      </c>
    </row>
    <row r="31" spans="1:3" x14ac:dyDescent="0.25">
      <c r="A31" s="41">
        <v>2037</v>
      </c>
      <c r="B31" s="48">
        <v>64</v>
      </c>
      <c r="C31" s="118">
        <f>(B31*CPI!$B$29)/CPI!$B$28</f>
        <v>64.072208603883553</v>
      </c>
    </row>
    <row r="32" spans="1:3" x14ac:dyDescent="0.25">
      <c r="A32" s="41">
        <v>2038</v>
      </c>
      <c r="B32" s="48">
        <v>65</v>
      </c>
      <c r="C32" s="118">
        <f>(B32*CPI!$B$29)/CPI!$B$28</f>
        <v>65.073336863319227</v>
      </c>
    </row>
    <row r="33" spans="1:3" x14ac:dyDescent="0.25">
      <c r="A33" s="41">
        <v>2039</v>
      </c>
      <c r="B33" s="48">
        <v>67</v>
      </c>
      <c r="C33" s="118">
        <f>(B33*CPI!$B$29)/CPI!$B$28</f>
        <v>67.07559338219059</v>
      </c>
    </row>
    <row r="34" spans="1:3" x14ac:dyDescent="0.25">
      <c r="A34" s="41">
        <v>2040</v>
      </c>
      <c r="B34" s="48">
        <v>68</v>
      </c>
      <c r="C34" s="118">
        <f>(B34*CPI!$B$29)/CPI!$B$28</f>
        <v>68.076721641626264</v>
      </c>
    </row>
    <row r="35" spans="1:3" x14ac:dyDescent="0.25">
      <c r="A35" s="41">
        <v>2041</v>
      </c>
      <c r="B35" s="48">
        <v>69</v>
      </c>
      <c r="C35" s="118">
        <f>(B35*CPI!$B$29)/CPI!$B$28</f>
        <v>69.077849901061953</v>
      </c>
    </row>
    <row r="36" spans="1:3" x14ac:dyDescent="0.25">
      <c r="A36" s="41">
        <v>2042</v>
      </c>
      <c r="B36" s="48">
        <v>69</v>
      </c>
      <c r="C36" s="118">
        <f>(B36*CPI!$B$29)/CPI!$B$28</f>
        <v>69.077849901061953</v>
      </c>
    </row>
    <row r="37" spans="1:3" x14ac:dyDescent="0.25">
      <c r="A37" s="41">
        <v>2043</v>
      </c>
      <c r="B37" s="48">
        <v>70</v>
      </c>
      <c r="C37" s="118">
        <f>(B37*CPI!$B$29)/CPI!$B$28</f>
        <v>70.078978160497627</v>
      </c>
    </row>
    <row r="38" spans="1:3" x14ac:dyDescent="0.25">
      <c r="A38" s="41">
        <v>2044</v>
      </c>
      <c r="B38" s="48">
        <v>71</v>
      </c>
      <c r="C38" s="118">
        <f>(B38*CPI!$B$29)/CPI!$B$28</f>
        <v>71.080106419933315</v>
      </c>
    </row>
    <row r="39" spans="1:3" x14ac:dyDescent="0.25">
      <c r="A39" s="41">
        <v>2045</v>
      </c>
      <c r="B39" s="48">
        <v>72</v>
      </c>
      <c r="C39" s="118">
        <f>(B39*CPI!$B$29)/CPI!$B$28</f>
        <v>72.08123467936899</v>
      </c>
    </row>
    <row r="40" spans="1:3" x14ac:dyDescent="0.25">
      <c r="A40" s="41">
        <v>2046</v>
      </c>
      <c r="B40" s="48">
        <v>73</v>
      </c>
      <c r="C40" s="118">
        <f>(B40*CPI!$B$29)/CPI!$B$28</f>
        <v>73.082362938804664</v>
      </c>
    </row>
    <row r="41" spans="1:3" x14ac:dyDescent="0.25">
      <c r="A41" s="41">
        <v>2047</v>
      </c>
      <c r="B41" s="48">
        <v>74</v>
      </c>
      <c r="C41" s="118">
        <f>(B41*CPI!$B$29)/CPI!$B$28</f>
        <v>74.083491198240353</v>
      </c>
    </row>
    <row r="42" spans="1:3" x14ac:dyDescent="0.25">
      <c r="A42" s="41">
        <v>2048</v>
      </c>
      <c r="B42" s="48">
        <v>76</v>
      </c>
      <c r="C42" s="118">
        <f>(B42*CPI!$B$29)/CPI!$B$28</f>
        <v>76.085747717111701</v>
      </c>
    </row>
    <row r="43" spans="1:3" x14ac:dyDescent="0.25">
      <c r="A43" s="41">
        <v>2049</v>
      </c>
      <c r="B43" s="48">
        <v>77</v>
      </c>
      <c r="C43" s="118">
        <f>(B43*CPI!$B$29)/CPI!$B$28</f>
        <v>77.08687597654739</v>
      </c>
    </row>
    <row r="44" spans="1:3" ht="15.75" thickBot="1" x14ac:dyDescent="0.3">
      <c r="A44" s="44">
        <v>2050</v>
      </c>
      <c r="B44" s="150">
        <v>78</v>
      </c>
      <c r="C44" s="151">
        <f>(B44*CPI!$B$29)/CPI!$B$28</f>
        <v>78.088004235983078</v>
      </c>
    </row>
  </sheetData>
  <sheetProtection password="891C" sheet="1" objects="1" scenarios="1"/>
  <mergeCells count="1">
    <mergeCell ref="A2:C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81"/>
  <sheetViews>
    <sheetView topLeftCell="A35" zoomScale="70" zoomScaleNormal="70" workbookViewId="0">
      <selection activeCell="Q81" sqref="D49:Q81"/>
    </sheetView>
  </sheetViews>
  <sheetFormatPr defaultRowHeight="15" x14ac:dyDescent="0.25"/>
  <cols>
    <col min="2" max="3" width="13.7109375" style="6" hidden="1" customWidth="1"/>
    <col min="4" max="6" width="13.7109375" style="6" customWidth="1"/>
    <col min="7" max="7" width="13.7109375" style="6" hidden="1" customWidth="1"/>
    <col min="8" max="9" width="13.7109375" style="6" customWidth="1"/>
    <col min="10" max="10" width="13.7109375" style="6" hidden="1" customWidth="1"/>
    <col min="11" max="13" width="13.7109375" style="6" customWidth="1"/>
    <col min="14" max="14" width="13.7109375" style="6" hidden="1" customWidth="1"/>
    <col min="15" max="17" width="13.7109375" style="6" customWidth="1"/>
    <col min="18" max="18" width="23.5703125" customWidth="1"/>
    <col min="22" max="22" width="77.28515625" bestFit="1" customWidth="1"/>
  </cols>
  <sheetData>
    <row r="2" spans="1:22" ht="15.75" thickBot="1" x14ac:dyDescent="0.3"/>
    <row r="3" spans="1:22" s="7" customFormat="1" ht="90" x14ac:dyDescent="0.25">
      <c r="A3" s="405" t="s">
        <v>132</v>
      </c>
      <c r="B3" s="422" t="s">
        <v>141</v>
      </c>
      <c r="C3" s="404" t="s">
        <v>404</v>
      </c>
      <c r="D3" s="404" t="s">
        <v>199</v>
      </c>
      <c r="E3" s="404" t="s">
        <v>388</v>
      </c>
      <c r="F3" s="404" t="s">
        <v>800</v>
      </c>
      <c r="G3" s="115" t="s">
        <v>249</v>
      </c>
      <c r="H3" s="115" t="s">
        <v>503</v>
      </c>
      <c r="I3" s="417" t="s">
        <v>710</v>
      </c>
      <c r="J3" s="416" t="s">
        <v>712</v>
      </c>
      <c r="K3" s="152" t="s">
        <v>711</v>
      </c>
      <c r="L3" s="152" t="s">
        <v>713</v>
      </c>
      <c r="M3" s="152" t="s">
        <v>800</v>
      </c>
      <c r="N3" s="152" t="s">
        <v>714</v>
      </c>
      <c r="O3" s="152" t="s">
        <v>715</v>
      </c>
      <c r="P3" s="417" t="s">
        <v>716</v>
      </c>
      <c r="Q3" s="412" t="s">
        <v>709</v>
      </c>
      <c r="V3" s="210"/>
    </row>
    <row r="4" spans="1:22" s="191" customFormat="1" hidden="1" x14ac:dyDescent="0.25">
      <c r="A4" s="421">
        <v>2014</v>
      </c>
      <c r="B4" s="423">
        <f>'Bicycle Users'!BF3</f>
        <v>0</v>
      </c>
      <c r="C4" s="408">
        <f>'Pedestrian Users'!BM3</f>
        <v>0</v>
      </c>
      <c r="D4" s="408">
        <f>SUM(B4:C4)</f>
        <v>0</v>
      </c>
      <c r="E4" s="408">
        <f>(1*(D4*'Fayette County Statistics'!$C$10))+((1/2)*('Fayette County Statistics'!$D$12*'Reduced VMT'!D4))+((1/3)*(D4*'Fayette County Statistics'!$D$13))+((1/4)*('Reduced VMT'!D4*'Fayette County Statistics'!$D$14))+(1*('Fayette County Statistics'!$D$16*'Reduced VMT'!D4))+(1*('Reduced VMT'!D4*'Fayette County Statistics'!$D$17))</f>
        <v>0</v>
      </c>
      <c r="F4" s="408">
        <f>Inputs!$B$35</f>
        <v>18.373999999999999</v>
      </c>
      <c r="G4" s="409">
        <f>Inputs!$B$37</f>
        <v>2</v>
      </c>
      <c r="H4" s="409">
        <f>Inputs!$B$19</f>
        <v>218</v>
      </c>
      <c r="I4" s="419" t="e">
        <f>(E4*#REF!*((1/60)*F4))*G4*H4</f>
        <v>#REF!</v>
      </c>
      <c r="J4" s="418">
        <f>'Regional Trail Users'!M6</f>
        <v>15363</v>
      </c>
      <c r="K4" s="410">
        <v>0</v>
      </c>
      <c r="L4" s="410">
        <f>(1*(K4*'Fayette County Statistics'!$C$10))+((1/2)*('Fayette County Statistics'!$D$12*'Reduced VMT'!K4))+((1/3)*(K4*'Fayette County Statistics'!$D$13))+((1/4)*('Reduced VMT'!K4*'Fayette County Statistics'!$D$14))+(1*('Fayette County Statistics'!$D$16*'Reduced VMT'!K4))+(1*('Reduced VMT'!K4*'Fayette County Statistics'!$D$17))</f>
        <v>0</v>
      </c>
      <c r="M4" s="411">
        <f>'Regional Trail Users'!$J$60</f>
        <v>20.208683199895855</v>
      </c>
      <c r="N4" s="410">
        <f t="shared" ref="N4:O9" si="0">G4</f>
        <v>2</v>
      </c>
      <c r="O4" s="410">
        <f t="shared" si="0"/>
        <v>218</v>
      </c>
      <c r="P4" s="419" t="e">
        <f>(L4*M4*((1/60)*#REF!))*N4*O4</f>
        <v>#REF!</v>
      </c>
      <c r="Q4" s="413"/>
      <c r="V4" s="210"/>
    </row>
    <row r="5" spans="1:22" s="191" customFormat="1" hidden="1" x14ac:dyDescent="0.25">
      <c r="A5" s="421">
        <v>2015</v>
      </c>
      <c r="B5" s="423">
        <f>'Bicycle Users'!BF4</f>
        <v>0</v>
      </c>
      <c r="C5" s="408">
        <f>'Pedestrian Users'!BM4</f>
        <v>0</v>
      </c>
      <c r="D5" s="408">
        <f t="shared" ref="D5:D6" si="1">SUM(B5:C5)</f>
        <v>0</v>
      </c>
      <c r="E5" s="408">
        <f>(1*(D5*'Fayette County Statistics'!$C$10))+((1/2)*('Fayette County Statistics'!$D$12*'Reduced VMT'!D5))+((1/3)*(D5*'Fayette County Statistics'!$D$13))+((1/4)*('Reduced VMT'!D5*'Fayette County Statistics'!$D$14))+(1*('Fayette County Statistics'!$D$16*'Reduced VMT'!D5))+(1*('Reduced VMT'!D5*'Fayette County Statistics'!$D$17))</f>
        <v>0</v>
      </c>
      <c r="F5" s="408">
        <f>Inputs!$B$35</f>
        <v>18.373999999999999</v>
      </c>
      <c r="G5" s="409">
        <f>Inputs!$B$37</f>
        <v>2</v>
      </c>
      <c r="H5" s="409">
        <f>Inputs!$B$19</f>
        <v>218</v>
      </c>
      <c r="I5" s="419" t="e">
        <f>(E5*#REF!*((1/60)*F5))*G5*H5</f>
        <v>#REF!</v>
      </c>
      <c r="J5" s="418">
        <f>J4*(1+'Fayette County Statistics'!$L$5)</f>
        <v>15535.071221619557</v>
      </c>
      <c r="K5" s="410">
        <v>0</v>
      </c>
      <c r="L5" s="410">
        <f>(1*(K5*'Fayette County Statistics'!$C$10))+((1/2)*('Fayette County Statistics'!$D$12*'Reduced VMT'!K5))+((1/3)*(K5*'Fayette County Statistics'!$D$13))+((1/4)*('Reduced VMT'!K5*'Fayette County Statistics'!$D$14))+(1*('Fayette County Statistics'!$D$16*'Reduced VMT'!K5))+(1*('Reduced VMT'!K5*'Fayette County Statistics'!$D$17))</f>
        <v>0</v>
      </c>
      <c r="M5" s="411">
        <f>'Regional Trail Users'!$J$60</f>
        <v>20.208683199895855</v>
      </c>
      <c r="N5" s="410">
        <f t="shared" si="0"/>
        <v>2</v>
      </c>
      <c r="O5" s="410">
        <f t="shared" si="0"/>
        <v>218</v>
      </c>
      <c r="P5" s="419" t="e">
        <f>(L5*M5*((1/60)*#REF!))*N5*O5</f>
        <v>#REF!</v>
      </c>
      <c r="Q5" s="413"/>
      <c r="V5" s="210"/>
    </row>
    <row r="6" spans="1:22" s="191" customFormat="1" hidden="1" x14ac:dyDescent="0.25">
      <c r="A6" s="421">
        <v>2016</v>
      </c>
      <c r="B6" s="423">
        <f>'Bicycle Users'!BF5</f>
        <v>0</v>
      </c>
      <c r="C6" s="408">
        <f>'Pedestrian Users'!BM5</f>
        <v>0</v>
      </c>
      <c r="D6" s="408">
        <f t="shared" si="1"/>
        <v>0</v>
      </c>
      <c r="E6" s="408">
        <f>(1*(D6*'Fayette County Statistics'!$C$10))+((1/2)*('Fayette County Statistics'!$D$12*'Reduced VMT'!D6))+((1/3)*(D6*'Fayette County Statistics'!$D$13))+((1/4)*('Reduced VMT'!D6*'Fayette County Statistics'!$D$14))+(1*('Fayette County Statistics'!$D$16*'Reduced VMT'!D6))+(1*('Reduced VMT'!D6*'Fayette County Statistics'!$D$17))</f>
        <v>0</v>
      </c>
      <c r="F6" s="408">
        <f>Inputs!$B$35</f>
        <v>18.373999999999999</v>
      </c>
      <c r="G6" s="409">
        <f>Inputs!$B$37</f>
        <v>2</v>
      </c>
      <c r="H6" s="409">
        <f>Inputs!$B$19</f>
        <v>218</v>
      </c>
      <c r="I6" s="419" t="e">
        <f>(E6*#REF!*((1/60)*F6))*G6*H6</f>
        <v>#REF!</v>
      </c>
      <c r="J6" s="418">
        <f>J5*(1+'Fayette County Statistics'!$L$5)</f>
        <v>15709.069703885451</v>
      </c>
      <c r="K6" s="410">
        <v>0</v>
      </c>
      <c r="L6" s="410">
        <f>(1*(K6*'Fayette County Statistics'!$C$10))+((1/2)*('Fayette County Statistics'!$D$12*'Reduced VMT'!K6))+((1/3)*(K6*'Fayette County Statistics'!$D$13))+((1/4)*('Reduced VMT'!K6*'Fayette County Statistics'!$D$14))+(1*('Fayette County Statistics'!$D$16*'Reduced VMT'!K6))+(1*('Reduced VMT'!K6*'Fayette County Statistics'!$D$17))</f>
        <v>0</v>
      </c>
      <c r="M6" s="411">
        <f>'Regional Trail Users'!$J$60</f>
        <v>20.208683199895855</v>
      </c>
      <c r="N6" s="410">
        <f t="shared" si="0"/>
        <v>2</v>
      </c>
      <c r="O6" s="410">
        <f t="shared" si="0"/>
        <v>218</v>
      </c>
      <c r="P6" s="419" t="e">
        <f>(L6*M6*((1/60)*#REF!))*N6*O6</f>
        <v>#REF!</v>
      </c>
      <c r="Q6" s="413"/>
      <c r="V6" s="210"/>
    </row>
    <row r="7" spans="1:22" s="191" customFormat="1" ht="18" hidden="1" customHeight="1" x14ac:dyDescent="0.25">
      <c r="A7" s="421">
        <v>2017</v>
      </c>
      <c r="B7" s="423">
        <f>'Bicycle Users'!BF6</f>
        <v>0</v>
      </c>
      <c r="C7" s="408">
        <f>'Pedestrian Users'!BM6</f>
        <v>0</v>
      </c>
      <c r="D7" s="408">
        <f>SUM(B7:C7)</f>
        <v>0</v>
      </c>
      <c r="E7" s="408">
        <f>(1*(D7*'Fayette County Statistics'!$C$10))+((1/2)*('Fayette County Statistics'!$D$12*'Reduced VMT'!D7))+((1/3)*(D7*'Fayette County Statistics'!$D$13))+((1/4)*('Reduced VMT'!D7*'Fayette County Statistics'!$D$14))+(1*('Fayette County Statistics'!$D$16*'Reduced VMT'!D7))+(1*('Reduced VMT'!D7*'Fayette County Statistics'!$D$17))</f>
        <v>0</v>
      </c>
      <c r="F7" s="408">
        <f>Inputs!$B$35</f>
        <v>18.373999999999999</v>
      </c>
      <c r="G7" s="409">
        <f>Inputs!$B$37</f>
        <v>2</v>
      </c>
      <c r="H7" s="409">
        <f>Inputs!$B$19</f>
        <v>218</v>
      </c>
      <c r="I7" s="419" t="e">
        <f>(E7*#REF!*((1/60)*F7))*G7*H7</f>
        <v>#REF!</v>
      </c>
      <c r="J7" s="418">
        <f>J6*(1+'Fayette County Statistics'!$L$5)</f>
        <v>15885.017032822139</v>
      </c>
      <c r="K7" s="410">
        <v>0</v>
      </c>
      <c r="L7" s="410">
        <f>(1*(K7*'Fayette County Statistics'!$C$10))+((1/2)*('Fayette County Statistics'!$D$12*'Reduced VMT'!K7))+((1/3)*(K7*'Fayette County Statistics'!$D$13))+((1/4)*('Reduced VMT'!K7*'Fayette County Statistics'!$D$14))+(1*('Fayette County Statistics'!$D$16*'Reduced VMT'!K7))+(1*('Reduced VMT'!K7*'Fayette County Statistics'!$D$17))</f>
        <v>0</v>
      </c>
      <c r="M7" s="411">
        <f>'Regional Trail Users'!$J$60</f>
        <v>20.208683199895855</v>
      </c>
      <c r="N7" s="410">
        <f t="shared" si="0"/>
        <v>2</v>
      </c>
      <c r="O7" s="410">
        <f t="shared" si="0"/>
        <v>218</v>
      </c>
      <c r="P7" s="419" t="e">
        <f>(L7*M7*((1/60)*#REF!))*N7*O7</f>
        <v>#REF!</v>
      </c>
      <c r="Q7" s="413"/>
      <c r="V7" s="210"/>
    </row>
    <row r="8" spans="1:22" x14ac:dyDescent="0.25">
      <c r="A8" s="142">
        <v>2018</v>
      </c>
      <c r="B8" s="243">
        <f>'Bicycle Users'!BF7</f>
        <v>0</v>
      </c>
      <c r="C8" s="38">
        <f>'Pedestrian Users'!BM7</f>
        <v>0</v>
      </c>
      <c r="D8" s="38">
        <f t="shared" ref="D8:D9" si="2">SUM(B8:C8)</f>
        <v>0</v>
      </c>
      <c r="E8" s="38">
        <f>(1*(D8*'Fayette County Statistics'!$C$10))+((1/2)*('Fayette County Statistics'!$D$12*'Reduced VMT'!D8))+((1/3)*(D8*'Fayette County Statistics'!$D$13))+((1/4)*('Reduced VMT'!D8*'Fayette County Statistics'!$D$14))+(1*('Fayette County Statistics'!$D$16*'Reduced VMT'!D8))+(1*('Reduced VMT'!D8*'Fayette County Statistics'!$D$17))</f>
        <v>0</v>
      </c>
      <c r="F8" s="60">
        <v>1</v>
      </c>
      <c r="G8" s="50">
        <f>Inputs!$B$37</f>
        <v>2</v>
      </c>
      <c r="H8" s="50">
        <f>Inputs!$B$19</f>
        <v>218</v>
      </c>
      <c r="I8" s="230">
        <f>E8*F8*G8*H8</f>
        <v>0</v>
      </c>
      <c r="J8" s="420">
        <f>J7*(1+'Fayette County Statistics'!$L$5)</f>
        <v>16062.935036225459</v>
      </c>
      <c r="K8" s="236">
        <v>0</v>
      </c>
      <c r="L8" s="236">
        <f>(1*(K8*'Fayette County Statistics'!$C$10))+((1/2)*('Fayette County Statistics'!$D$12*'Reduced VMT'!K8))+((1/3)*(K8*'Fayette County Statistics'!$D$13))+((1/4)*('Reduced VMT'!K8*'Fayette County Statistics'!$D$14))+(1*('Fayette County Statistics'!$D$16*'Reduced VMT'!K8))+(1*('Reduced VMT'!K8*'Fayette County Statistics'!$D$17))</f>
        <v>0</v>
      </c>
      <c r="M8" s="407">
        <v>5</v>
      </c>
      <c r="N8" s="236">
        <f t="shared" si="0"/>
        <v>2</v>
      </c>
      <c r="O8" s="236">
        <f t="shared" si="0"/>
        <v>218</v>
      </c>
      <c r="P8" s="230">
        <f>L8*M8*N8*O8</f>
        <v>0</v>
      </c>
      <c r="Q8" s="414">
        <f t="shared" ref="Q8:Q39" si="3">SUM(I8,P8)</f>
        <v>0</v>
      </c>
      <c r="T8" s="64"/>
      <c r="V8" s="27"/>
    </row>
    <row r="9" spans="1:22" x14ac:dyDescent="0.25">
      <c r="A9" s="142">
        <v>2019</v>
      </c>
      <c r="B9" s="243">
        <f>'Bicycle Users'!BF8</f>
        <v>0</v>
      </c>
      <c r="C9" s="38">
        <f>'Pedestrian Users'!BM8</f>
        <v>0</v>
      </c>
      <c r="D9" s="38">
        <f t="shared" si="2"/>
        <v>0</v>
      </c>
      <c r="E9" s="38">
        <f>(1*(D9*'Fayette County Statistics'!$C$10))+((1/2)*('Fayette County Statistics'!$D$12*'Reduced VMT'!D9))+((1/3)*(D9*'Fayette County Statistics'!$D$13))+((1/4)*('Reduced VMT'!D9*'Fayette County Statistics'!$D$14))+(1*('Fayette County Statistics'!$D$16*'Reduced VMT'!D9))+(1*('Reduced VMT'!D9*'Fayette County Statistics'!$D$17))</f>
        <v>0</v>
      </c>
      <c r="F9" s="60">
        <v>1</v>
      </c>
      <c r="G9" s="50">
        <f>Inputs!$B$37</f>
        <v>2</v>
      </c>
      <c r="H9" s="50">
        <f>Inputs!$B$19</f>
        <v>218</v>
      </c>
      <c r="I9" s="230">
        <f t="shared" ref="I9:I39" si="4">E9*F9*G9*H9</f>
        <v>0</v>
      </c>
      <c r="J9" s="420">
        <f>J8*(1+'Fayette County Statistics'!$L$5)</f>
        <v>16242.845786370543</v>
      </c>
      <c r="K9" s="236">
        <v>0</v>
      </c>
      <c r="L9" s="236">
        <f>(1*(K9*'Fayette County Statistics'!$C$10))+((1/2)*('Fayette County Statistics'!$D$12*'Reduced VMT'!K9))+((1/3)*(K9*'Fayette County Statistics'!$D$13))+((1/4)*('Reduced VMT'!K9*'Fayette County Statistics'!$D$14))+(1*('Fayette County Statistics'!$D$16*'Reduced VMT'!K9))+(1*('Reduced VMT'!K9*'Fayette County Statistics'!$D$17))</f>
        <v>0</v>
      </c>
      <c r="M9" s="407">
        <v>5</v>
      </c>
      <c r="N9" s="236">
        <f t="shared" si="0"/>
        <v>2</v>
      </c>
      <c r="O9" s="236">
        <f t="shared" si="0"/>
        <v>218</v>
      </c>
      <c r="P9" s="230">
        <f t="shared" ref="P9:P39" si="5">L9*M9*N9*O9</f>
        <v>0</v>
      </c>
      <c r="Q9" s="414">
        <f t="shared" si="3"/>
        <v>0</v>
      </c>
    </row>
    <row r="10" spans="1:22" x14ac:dyDescent="0.25">
      <c r="A10" s="142">
        <v>2020</v>
      </c>
      <c r="B10" s="243">
        <f>'Bicycle Users'!BF9</f>
        <v>436.54236125889685</v>
      </c>
      <c r="C10" s="38">
        <f>'Pedestrian Users'!BM9</f>
        <v>376.09413409384098</v>
      </c>
      <c r="D10" s="38">
        <f t="shared" ref="D10:D37" si="6">SUM(B10:C10)</f>
        <v>812.63649535273782</v>
      </c>
      <c r="E10" s="38">
        <f>(1*(D10*'Fayette County Statistics'!$C$10))+((1/2)*('Fayette County Statistics'!$D$12*'Reduced VMT'!D10))+((1/3)*(D10*'Fayette County Statistics'!$D$13))+((1/4)*('Reduced VMT'!D10*'Fayette County Statistics'!$D$14))+(1*('Fayette County Statistics'!$D$16*'Reduced VMT'!D10))+(1*('Reduced VMT'!D10*'Fayette County Statistics'!$D$17))</f>
        <v>767.82838024495845</v>
      </c>
      <c r="F10" s="60">
        <v>1</v>
      </c>
      <c r="G10" s="50">
        <f>Inputs!$B$37</f>
        <v>2</v>
      </c>
      <c r="H10" s="50">
        <f>Inputs!$B$19</f>
        <v>218</v>
      </c>
      <c r="I10" s="230">
        <f t="shared" si="4"/>
        <v>334773.17378680187</v>
      </c>
      <c r="J10" s="420">
        <f>J9*(1+'Fayette County Statistics'!$L$5)</f>
        <v>16424.771602750083</v>
      </c>
      <c r="K10" s="236">
        <f>J10*'Regional Trail Users'!$M$10</f>
        <v>377.7697468632519</v>
      </c>
      <c r="L10" s="236">
        <f>(1*(K10*'Fayette County Statistics'!$C$10))+((1/2)*('Fayette County Statistics'!$D$12*'Reduced VMT'!K10))+((1/3)*(K10*'Fayette County Statistics'!$D$13))+((1/4)*('Reduced VMT'!K10*'Fayette County Statistics'!$D$14))+(1*('Fayette County Statistics'!$D$16*'Reduced VMT'!K10))+(1*('Reduced VMT'!K10*'Fayette County Statistics'!$D$17))</f>
        <v>356.93983041415396</v>
      </c>
      <c r="M10" s="407">
        <v>5</v>
      </c>
      <c r="N10" s="236">
        <f t="shared" ref="N10" si="7">G10</f>
        <v>2</v>
      </c>
      <c r="O10" s="236">
        <f t="shared" ref="O10" si="8">H10</f>
        <v>218</v>
      </c>
      <c r="P10" s="230">
        <f t="shared" si="5"/>
        <v>778128.83030285558</v>
      </c>
      <c r="Q10" s="414">
        <f t="shared" si="3"/>
        <v>1112902.0040896575</v>
      </c>
    </row>
    <row r="11" spans="1:22" x14ac:dyDescent="0.25">
      <c r="A11" s="142">
        <v>2021</v>
      </c>
      <c r="B11" s="243">
        <f>'Bicycle Users'!BF10</f>
        <v>441.43179544431018</v>
      </c>
      <c r="C11" s="38">
        <f>'Pedestrian Users'!BM10</f>
        <v>380.30652601582739</v>
      </c>
      <c r="D11" s="38">
        <f t="shared" si="6"/>
        <v>821.73832146013751</v>
      </c>
      <c r="E11" s="38">
        <f>(1*(D11*'Fayette County Statistics'!$C$10))+((1/2)*('Fayette County Statistics'!$D$12*'Reduced VMT'!D11))+((1/3)*(D11*'Fayette County Statistics'!$D$13))+((1/4)*('Reduced VMT'!D11*'Fayette County Statistics'!$D$14))+(1*('Fayette County Statistics'!$D$16*'Reduced VMT'!D11))+(1*('Reduced VMT'!D11*'Fayette County Statistics'!$D$17))</f>
        <v>776.42833906699298</v>
      </c>
      <c r="F11" s="60">
        <v>1</v>
      </c>
      <c r="G11" s="50">
        <f>Inputs!$B$37</f>
        <v>2</v>
      </c>
      <c r="H11" s="50">
        <f>Inputs!$B$19</f>
        <v>218</v>
      </c>
      <c r="I11" s="230">
        <f t="shared" si="4"/>
        <v>338522.75583320891</v>
      </c>
      <c r="J11" s="420">
        <f>J10*(1+'Fayette County Statistics'!$L$5)</f>
        <v>16608.735054843255</v>
      </c>
      <c r="K11" s="236">
        <f>J11*'Regional Trail Users'!$M$10</f>
        <v>382.00090626139485</v>
      </c>
      <c r="L11" s="236">
        <f>(1*(K11*'Fayette County Statistics'!$C$10))+((1/2)*('Fayette County Statistics'!$D$12*'Reduced VMT'!K11))+((1/3)*(K11*'Fayette County Statistics'!$D$13))+((1/4)*('Reduced VMT'!K11*'Fayette County Statistics'!$D$14))+(1*('Fayette County Statistics'!$D$16*'Reduced VMT'!K11))+(1*('Reduced VMT'!K11*'Fayette County Statistics'!$D$17))</f>
        <v>360.93768712599672</v>
      </c>
      <c r="M11" s="407">
        <v>5</v>
      </c>
      <c r="N11" s="236">
        <f t="shared" ref="N11:N39" si="9">G11</f>
        <v>2</v>
      </c>
      <c r="O11" s="236">
        <f t="shared" ref="O11:O39" si="10">H11</f>
        <v>218</v>
      </c>
      <c r="P11" s="230">
        <f t="shared" si="5"/>
        <v>786844.1579346729</v>
      </c>
      <c r="Q11" s="414">
        <f t="shared" si="3"/>
        <v>1125366.9137678817</v>
      </c>
      <c r="S11" s="186"/>
      <c r="T11" s="186"/>
    </row>
    <row r="12" spans="1:22" x14ac:dyDescent="0.25">
      <c r="A12" s="142">
        <v>2022</v>
      </c>
      <c r="B12" s="243">
        <f>'Bicycle Users'!BF11</f>
        <v>446.3759930817389</v>
      </c>
      <c r="C12" s="38">
        <f>'Pedestrian Users'!BM11</f>
        <v>384.56609826873591</v>
      </c>
      <c r="D12" s="38">
        <f t="shared" si="6"/>
        <v>830.94209135047481</v>
      </c>
      <c r="E12" s="38">
        <f>(1*(D12*'Fayette County Statistics'!$C$10))+((1/2)*('Fayette County Statistics'!$D$12*'Reduced VMT'!D12))+((1/3)*(D12*'Fayette County Statistics'!$D$13))+((1/4)*('Reduced VMT'!D12*'Fayette County Statistics'!$D$14))+(1*('Fayette County Statistics'!$D$16*'Reduced VMT'!D12))+(1*('Reduced VMT'!D12*'Fayette County Statistics'!$D$17))</f>
        <v>785.12462057472601</v>
      </c>
      <c r="F12" s="60">
        <v>1</v>
      </c>
      <c r="G12" s="50">
        <f>Inputs!$B$37</f>
        <v>2</v>
      </c>
      <c r="H12" s="50">
        <f>Inputs!$B$19</f>
        <v>218</v>
      </c>
      <c r="I12" s="230">
        <f t="shared" si="4"/>
        <v>342314.33457058051</v>
      </c>
      <c r="J12" s="420">
        <f>J11*(1+'Fayette County Statistics'!$L$5)</f>
        <v>16794.758964915665</v>
      </c>
      <c r="K12" s="236">
        <f>J12*'Regional Trail Users'!$M$10</f>
        <v>386.2794561930603</v>
      </c>
      <c r="L12" s="236">
        <f>(1*(K12*'Fayette County Statistics'!$C$10))+((1/2)*('Fayette County Statistics'!$D$12*'Reduced VMT'!K12))+((1/3)*(K12*'Fayette County Statistics'!$D$13))+((1/4)*('Reduced VMT'!K12*'Fayette County Statistics'!$D$14))+(1*('Fayette County Statistics'!$D$16*'Reduced VMT'!K12))+(1*('Reduced VMT'!K12*'Fayette County Statistics'!$D$17))</f>
        <v>364.98032129590553</v>
      </c>
      <c r="M12" s="407">
        <v>5</v>
      </c>
      <c r="N12" s="236">
        <f t="shared" si="9"/>
        <v>2</v>
      </c>
      <c r="O12" s="236">
        <f t="shared" si="10"/>
        <v>218</v>
      </c>
      <c r="P12" s="230">
        <f t="shared" si="5"/>
        <v>795657.10042507399</v>
      </c>
      <c r="Q12" s="414">
        <f t="shared" si="3"/>
        <v>1137971.4349956545</v>
      </c>
      <c r="S12" s="186"/>
      <c r="T12" s="186"/>
    </row>
    <row r="13" spans="1:22" x14ac:dyDescent="0.25">
      <c r="A13" s="142">
        <v>2023</v>
      </c>
      <c r="B13" s="243">
        <f>'Bicycle Users'!BF12</f>
        <v>451.37556754188455</v>
      </c>
      <c r="C13" s="38">
        <f>'Pedestrian Users'!BM12</f>
        <v>388.87337928953707</v>
      </c>
      <c r="D13" s="38">
        <f t="shared" si="6"/>
        <v>840.24894683142156</v>
      </c>
      <c r="E13" s="38">
        <f>(1*(D13*'Fayette County Statistics'!$C$10))+((1/2)*('Fayette County Statistics'!$D$12*'Reduced VMT'!D13))+((1/3)*(D13*'Fayette County Statistics'!$D$13))+((1/4)*('Reduced VMT'!D13*'Fayette County Statistics'!$D$14))+(1*('Fayette County Statistics'!$D$16*'Reduced VMT'!D13))+(1*('Reduced VMT'!D13*'Fayette County Statistics'!$D$17))</f>
        <v>793.91830361748339</v>
      </c>
      <c r="F13" s="60">
        <v>1</v>
      </c>
      <c r="G13" s="50">
        <f>Inputs!$B$37</f>
        <v>2</v>
      </c>
      <c r="H13" s="50">
        <f>Inputs!$B$19</f>
        <v>218</v>
      </c>
      <c r="I13" s="230">
        <f t="shared" si="4"/>
        <v>346148.38037722278</v>
      </c>
      <c r="J13" s="420">
        <f>J12*(1+'Fayette County Statistics'!$L$5)</f>
        <v>16982.866410850642</v>
      </c>
      <c r="K13" s="236">
        <f>J13*'Regional Trail Users'!$M$10</f>
        <v>390.60592744956477</v>
      </c>
      <c r="L13" s="236">
        <f>(1*(K13*'Fayette County Statistics'!$C$10))+((1/2)*('Fayette County Statistics'!$D$12*'Reduced VMT'!K13))+((1/3)*(K13*'Fayette County Statistics'!$D$13))+((1/4)*('Reduced VMT'!K13*'Fayette County Statistics'!$D$14))+(1*('Fayette County Statistics'!$D$16*'Reduced VMT'!K13))+(1*('Reduced VMT'!K13*'Fayette County Statistics'!$D$17))</f>
        <v>369.06823444779542</v>
      </c>
      <c r="M13" s="407">
        <v>5</v>
      </c>
      <c r="N13" s="236">
        <f t="shared" si="9"/>
        <v>2</v>
      </c>
      <c r="O13" s="236">
        <f t="shared" si="10"/>
        <v>218</v>
      </c>
      <c r="P13" s="230">
        <f t="shared" si="5"/>
        <v>804568.75109619403</v>
      </c>
      <c r="Q13" s="414">
        <f t="shared" si="3"/>
        <v>1150717.1314734169</v>
      </c>
    </row>
    <row r="14" spans="1:22" x14ac:dyDescent="0.25">
      <c r="A14" s="142">
        <v>2024</v>
      </c>
      <c r="B14" s="243">
        <f>'Bicycle Users'!BF13</f>
        <v>456.43113906542504</v>
      </c>
      <c r="C14" s="38">
        <f>'Pedestrian Users'!BM13</f>
        <v>393.22890343388883</v>
      </c>
      <c r="D14" s="38">
        <f>SUM(B14:C14)</f>
        <v>849.66004249931393</v>
      </c>
      <c r="E14" s="38">
        <f>(1*(D14*'Fayette County Statistics'!$C$10))+((1/2)*('Fayette County Statistics'!$D$12*'Reduced VMT'!D14))+((1/3)*(D14*'Fayette County Statistics'!$D$13))+((1/4)*('Reduced VMT'!D14*'Fayette County Statistics'!$D$14))+(1*('Fayette County Statistics'!$D$16*'Reduced VMT'!D14))+(1*('Reduced VMT'!D14*'Fayette County Statistics'!$D$17))</f>
        <v>802.81047912809913</v>
      </c>
      <c r="F14" s="60">
        <v>1</v>
      </c>
      <c r="G14" s="50">
        <f>Inputs!$B$37</f>
        <v>2</v>
      </c>
      <c r="H14" s="50">
        <f>Inputs!$B$19</f>
        <v>218</v>
      </c>
      <c r="I14" s="230">
        <f t="shared" si="4"/>
        <v>350025.36889985122</v>
      </c>
      <c r="J14" s="420">
        <f>J13*(1+'Fayette County Statistics'!$L$5)</f>
        <v>17173.080729012254</v>
      </c>
      <c r="K14" s="236">
        <f>J14*'Regional Trail Users'!$M$10</f>
        <v>394.98085676728181</v>
      </c>
      <c r="L14" s="236">
        <f>(1*(K14*'Fayette County Statistics'!$C$10))+((1/2)*('Fayette County Statistics'!$D$12*'Reduced VMT'!K14))+((1/3)*(K14*'Fayette County Statistics'!$D$13))+((1/4)*('Reduced VMT'!K14*'Fayette County Statistics'!$D$14))+(1*('Fayette County Statistics'!$D$16*'Reduced VMT'!K14))+(1*('Reduced VMT'!K14*'Fayette County Statistics'!$D$17))</f>
        <v>373.20193372283319</v>
      </c>
      <c r="M14" s="407">
        <v>5</v>
      </c>
      <c r="N14" s="236">
        <f t="shared" si="9"/>
        <v>2</v>
      </c>
      <c r="O14" s="236">
        <f t="shared" si="10"/>
        <v>218</v>
      </c>
      <c r="P14" s="230">
        <f t="shared" si="5"/>
        <v>813580.21551577642</v>
      </c>
      <c r="Q14" s="414">
        <f t="shared" si="3"/>
        <v>1163605.5844156276</v>
      </c>
      <c r="S14" s="187"/>
      <c r="T14" s="187"/>
    </row>
    <row r="15" spans="1:22" x14ac:dyDescent="0.25">
      <c r="A15" s="142">
        <v>2025</v>
      </c>
      <c r="B15" s="243">
        <f>'Bicycle Users'!BF14</f>
        <v>461.54333483996089</v>
      </c>
      <c r="C15" s="38">
        <f>'Pedestrian Users'!BM14</f>
        <v>397.63321104242806</v>
      </c>
      <c r="D15" s="38">
        <f t="shared" si="6"/>
        <v>859.17654588238895</v>
      </c>
      <c r="E15" s="38">
        <f>(1*(D15*'Fayette County Statistics'!$C$10))+((1/2)*('Fayette County Statistics'!$D$12*'Reduced VMT'!D15))+((1/3)*(D15*'Fayette County Statistics'!$D$13))+((1/4)*('Reduced VMT'!D15*'Fayette County Statistics'!$D$14))+(1*('Fayette County Statistics'!$D$16*'Reduced VMT'!D15))+(1*('Reduced VMT'!D15*'Fayette County Statistics'!$D$17))</f>
        <v>811.80225025825303</v>
      </c>
      <c r="F15" s="60">
        <v>1</v>
      </c>
      <c r="G15" s="50">
        <f>Inputs!$B$37</f>
        <v>2</v>
      </c>
      <c r="H15" s="50">
        <f>Inputs!$B$19</f>
        <v>218</v>
      </c>
      <c r="I15" s="230">
        <f t="shared" si="4"/>
        <v>353945.78111259831</v>
      </c>
      <c r="J15" s="420">
        <f>J14*(1+'Fayette County Statistics'!$L$5)</f>
        <v>17365.425517140382</v>
      </c>
      <c r="K15" s="236">
        <f>J15*'Regional Trail Users'!$M$10</f>
        <v>399.40478689422878</v>
      </c>
      <c r="L15" s="236">
        <f>(1*(K15*'Fayette County Statistics'!$C$10))+((1/2)*('Fayette County Statistics'!$D$12*'Reduced VMT'!K15))+((1/3)*(K15*'Fayette County Statistics'!$D$13))+((1/4)*('Reduced VMT'!K15*'Fayette County Statistics'!$D$14))+(1*('Fayette County Statistics'!$D$16*'Reduced VMT'!K15))+(1*('Reduced VMT'!K15*'Fayette County Statistics'!$D$17))</f>
        <v>377.38193194235208</v>
      </c>
      <c r="M15" s="407">
        <v>5</v>
      </c>
      <c r="N15" s="236">
        <f t="shared" si="9"/>
        <v>2</v>
      </c>
      <c r="O15" s="236">
        <f t="shared" si="10"/>
        <v>218</v>
      </c>
      <c r="P15" s="230">
        <f t="shared" si="5"/>
        <v>822692.61163432756</v>
      </c>
      <c r="Q15" s="414">
        <f t="shared" si="3"/>
        <v>1176638.3927469258</v>
      </c>
    </row>
    <row r="16" spans="1:22" x14ac:dyDescent="0.25">
      <c r="A16" s="142">
        <v>2026</v>
      </c>
      <c r="B16" s="243">
        <f>'Bicycle Users'!BF15</f>
        <v>466.71278907782312</v>
      </c>
      <c r="C16" s="38">
        <f>'Pedestrian Users'!BM15</f>
        <v>402.08684850780452</v>
      </c>
      <c r="D16" s="38">
        <f t="shared" si="6"/>
        <v>868.79963758562758</v>
      </c>
      <c r="E16" s="38">
        <f>(1*(D16*'Fayette County Statistics'!$C$10))+((1/2)*('Fayette County Statistics'!$D$12*'Reduced VMT'!D16))+((1/3)*(D16*'Fayette County Statistics'!$D$13))+((1/4)*('Reduced VMT'!D16*'Fayette County Statistics'!$D$14))+(1*('Fayette County Statistics'!$D$16*'Reduced VMT'!D16))+(1*('Reduced VMT'!D16*'Fayette County Statistics'!$D$17))</f>
        <v>820.89473251532809</v>
      </c>
      <c r="F16" s="60">
        <v>1</v>
      </c>
      <c r="G16" s="50">
        <f>Inputs!$B$37</f>
        <v>2</v>
      </c>
      <c r="H16" s="50">
        <f>Inputs!$B$19</f>
        <v>218</v>
      </c>
      <c r="I16" s="230">
        <f t="shared" si="4"/>
        <v>357910.10337668302</v>
      </c>
      <c r="J16" s="420">
        <f>J15*(1+'Fayette County Statistics'!$L$5)</f>
        <v>17559.924637278233</v>
      </c>
      <c r="K16" s="236">
        <f>J16*'Regional Trail Users'!$M$10</f>
        <v>403.87826665739937</v>
      </c>
      <c r="L16" s="236">
        <f>(1*(K16*'Fayette County Statistics'!$C$10))+((1/2)*('Fayette County Statistics'!$D$12*'Reduced VMT'!K16))+((1/3)*(K16*'Fayette County Statistics'!$D$13))+((1/4)*('Reduced VMT'!K16*'Fayette County Statistics'!$D$14))+(1*('Fayette County Statistics'!$D$16*'Reduced VMT'!K16))+(1*('Reduced VMT'!K16*'Fayette County Statistics'!$D$17))</f>
        <v>381.60874767147209</v>
      </c>
      <c r="M16" s="407">
        <v>5</v>
      </c>
      <c r="N16" s="236">
        <f t="shared" si="9"/>
        <v>2</v>
      </c>
      <c r="O16" s="236">
        <f t="shared" si="10"/>
        <v>218</v>
      </c>
      <c r="P16" s="230">
        <f t="shared" si="5"/>
        <v>831907.06992380915</v>
      </c>
      <c r="Q16" s="414">
        <f t="shared" si="3"/>
        <v>1189817.1733004921</v>
      </c>
    </row>
    <row r="17" spans="1:17" x14ac:dyDescent="0.25">
      <c r="A17" s="142">
        <v>2027</v>
      </c>
      <c r="B17" s="243">
        <f>'Bicycle Users'!BF16</f>
        <v>471.9401430947529</v>
      </c>
      <c r="C17" s="38">
        <f>'Pedestrian Users'!BM16</f>
        <v>406.59036834246547</v>
      </c>
      <c r="D17" s="38">
        <f t="shared" si="6"/>
        <v>878.53051143721837</v>
      </c>
      <c r="E17" s="38">
        <f>(1*(D17*'Fayette County Statistics'!$C$10))+((1/2)*('Fayette County Statistics'!$D$12*'Reduced VMT'!D17))+((1/3)*(D17*'Fayette County Statistics'!$D$13))+((1/4)*('Reduced VMT'!D17*'Fayette County Statistics'!$D$14))+(1*('Fayette County Statistics'!$D$16*'Reduced VMT'!D17))+(1*('Reduced VMT'!D17*'Fayette County Statistics'!$D$17))</f>
        <v>830.08905390079781</v>
      </c>
      <c r="F17" s="60">
        <v>1</v>
      </c>
      <c r="G17" s="50">
        <f>Inputs!$B$37</f>
        <v>2</v>
      </c>
      <c r="H17" s="50">
        <f>Inputs!$B$19</f>
        <v>218</v>
      </c>
      <c r="I17" s="230">
        <f t="shared" si="4"/>
        <v>361918.82750074787</v>
      </c>
      <c r="J17" s="420">
        <f>J16*(1+'Fayette County Statistics'!$L$5)</f>
        <v>17756.602218732627</v>
      </c>
      <c r="K17" s="236">
        <f>J17*'Regional Trail Users'!$M$10</f>
        <v>408.40185103085042</v>
      </c>
      <c r="L17" s="236">
        <f>(1*(K17*'Fayette County Statistics'!$C$10))+((1/2)*('Fayette County Statistics'!$D$12*'Reduced VMT'!K17))+((1/3)*(K17*'Fayette County Statistics'!$D$13))+((1/4)*('Reduced VMT'!K17*'Fayette County Statistics'!$D$14))+(1*('Fayette County Statistics'!$D$16*'Reduced VMT'!K17))+(1*('Reduced VMT'!K17*'Fayette County Statistics'!$D$17))</f>
        <v>385.88290528343202</v>
      </c>
      <c r="M17" s="407">
        <v>5</v>
      </c>
      <c r="N17" s="236">
        <f t="shared" si="9"/>
        <v>2</v>
      </c>
      <c r="O17" s="236">
        <f t="shared" si="10"/>
        <v>218</v>
      </c>
      <c r="P17" s="230">
        <f t="shared" si="5"/>
        <v>841224.73351788183</v>
      </c>
      <c r="Q17" s="414">
        <f t="shared" si="3"/>
        <v>1203143.5610186297</v>
      </c>
    </row>
    <row r="18" spans="1:17" x14ac:dyDescent="0.25">
      <c r="A18" s="142">
        <v>2028</v>
      </c>
      <c r="B18" s="243">
        <f>'Bicycle Users'!BF17</f>
        <v>477.22604538946246</v>
      </c>
      <c r="C18" s="38">
        <f>'Pedestrian Users'!BM17</f>
        <v>411.14432924719983</v>
      </c>
      <c r="D18" s="38">
        <f t="shared" si="6"/>
        <v>888.37037463666229</v>
      </c>
      <c r="E18" s="38">
        <f>(1*(D18*'Fayette County Statistics'!$C$10))+((1/2)*('Fayette County Statistics'!$D$12*'Reduced VMT'!D18))+((1/3)*(D18*'Fayette County Statistics'!$D$13))+((1/4)*('Reduced VMT'!D18*'Fayette County Statistics'!$D$14))+(1*('Fayette County Statistics'!$D$16*'Reduced VMT'!D18))+(1*('Reduced VMT'!D18*'Fayette County Statistics'!$D$17))</f>
        <v>839.38635505016555</v>
      </c>
      <c r="F18" s="60">
        <v>1</v>
      </c>
      <c r="G18" s="50">
        <f>Inputs!$B$37</f>
        <v>2</v>
      </c>
      <c r="H18" s="50">
        <f>Inputs!$B$19</f>
        <v>218</v>
      </c>
      <c r="I18" s="230">
        <f t="shared" si="4"/>
        <v>365972.45080187218</v>
      </c>
      <c r="J18" s="420">
        <f>J17*(1+'Fayette County Statistics'!$L$5)</f>
        <v>17955.48266106745</v>
      </c>
      <c r="K18" s="236">
        <f>J18*'Regional Trail Users'!$M$10</f>
        <v>412.97610120455136</v>
      </c>
      <c r="L18" s="236">
        <f>(1*(K18*'Fayette County Statistics'!$C$10))+((1/2)*('Fayette County Statistics'!$D$12*'Reduced VMT'!K18))+((1/3)*(K18*'Fayette County Statistics'!$D$13))+((1/4)*('Reduced VMT'!K18*'Fayette County Statistics'!$D$14))+(1*('Fayette County Statistics'!$D$16*'Reduced VMT'!K18))+(1*('Reduced VMT'!K18*'Fayette County Statistics'!$D$17))</f>
        <v>390.20493502464302</v>
      </c>
      <c r="M18" s="407">
        <v>5</v>
      </c>
      <c r="N18" s="236">
        <f t="shared" si="9"/>
        <v>2</v>
      </c>
      <c r="O18" s="236">
        <f t="shared" si="10"/>
        <v>218</v>
      </c>
      <c r="P18" s="230">
        <f t="shared" si="5"/>
        <v>850646.75835372182</v>
      </c>
      <c r="Q18" s="414">
        <f t="shared" si="3"/>
        <v>1216619.209155594</v>
      </c>
    </row>
    <row r="19" spans="1:17" x14ac:dyDescent="0.25">
      <c r="A19" s="142">
        <v>2029</v>
      </c>
      <c r="B19" s="243">
        <f>'Bicycle Users'!BF18</f>
        <v>482.5711517240868</v>
      </c>
      <c r="C19" s="38">
        <f>'Pedestrian Users'!BM18</f>
        <v>415.74929618044973</v>
      </c>
      <c r="D19" s="38">
        <f t="shared" si="6"/>
        <v>898.32044790453654</v>
      </c>
      <c r="E19" s="38">
        <f>(1*(D19*'Fayette County Statistics'!$C$10))+((1/2)*('Fayette County Statistics'!$D$12*'Reduced VMT'!D19))+((1/3)*(D19*'Fayette County Statistics'!$D$13))+((1/4)*('Reduced VMT'!D19*'Fayette County Statistics'!$D$14))+(1*('Fayette County Statistics'!$D$16*'Reduced VMT'!D19))+(1*('Reduced VMT'!D19*'Fayette County Statistics'!$D$17))</f>
        <v>848.7877893744685</v>
      </c>
      <c r="F19" s="60">
        <v>1</v>
      </c>
      <c r="G19" s="50">
        <f>Inputs!$B$37</f>
        <v>2</v>
      </c>
      <c r="H19" s="50">
        <f>Inputs!$B$19</f>
        <v>218</v>
      </c>
      <c r="I19" s="230">
        <f t="shared" si="4"/>
        <v>370071.47616726829</v>
      </c>
      <c r="J19" s="420">
        <f>J18*(1+'Fayette County Statistics'!$L$5)</f>
        <v>18156.590637130634</v>
      </c>
      <c r="K19" s="236">
        <f>J19*'Regional Trail Users'!$M$10</f>
        <v>417.60158465400457</v>
      </c>
      <c r="L19" s="236">
        <f>(1*(K19*'Fayette County Statistics'!$C$10))+((1/2)*('Fayette County Statistics'!$D$12*'Reduced VMT'!K19))+((1/3)*(K19*'Fayette County Statistics'!$D$13))+((1/4)*('Reduced VMT'!K19*'Fayette County Statistics'!$D$14))+(1*('Fayette County Statistics'!$D$16*'Reduced VMT'!K19))+(1*('Reduced VMT'!K19*'Fayette County Statistics'!$D$17))</f>
        <v>394.57537308047006</v>
      </c>
      <c r="M19" s="407">
        <v>5</v>
      </c>
      <c r="N19" s="236">
        <f t="shared" si="9"/>
        <v>2</v>
      </c>
      <c r="O19" s="236">
        <f t="shared" si="10"/>
        <v>218</v>
      </c>
      <c r="P19" s="230">
        <f t="shared" si="5"/>
        <v>860174.31331542472</v>
      </c>
      <c r="Q19" s="414">
        <f t="shared" si="3"/>
        <v>1230245.789482693</v>
      </c>
    </row>
    <row r="20" spans="1:17" x14ac:dyDescent="0.25">
      <c r="A20" s="142">
        <v>2030</v>
      </c>
      <c r="B20" s="243">
        <f>'Bicycle Users'!BF19</f>
        <v>487.97612520553713</v>
      </c>
      <c r="C20" s="38">
        <f>'Pedestrian Users'!BM19</f>
        <v>420.40584042839885</v>
      </c>
      <c r="D20" s="38">
        <f t="shared" si="6"/>
        <v>908.38196563393603</v>
      </c>
      <c r="E20" s="38">
        <f>(1*(D20*'Fayette County Statistics'!$C$10))+((1/2)*('Fayette County Statistics'!$D$12*'Reduced VMT'!D20))+((1/3)*(D20*'Fayette County Statistics'!$D$13))+((1/4)*('Reduced VMT'!D20*'Fayette County Statistics'!$D$14))+(1*('Fayette County Statistics'!$D$16*'Reduced VMT'!D20))+(1*('Reduced VMT'!D20*'Fayette County Statistics'!$D$17))</f>
        <v>858.29452320337111</v>
      </c>
      <c r="F20" s="60">
        <v>1</v>
      </c>
      <c r="G20" s="50">
        <f>Inputs!$B$37</f>
        <v>2</v>
      </c>
      <c r="H20" s="50">
        <f>Inputs!$B$19</f>
        <v>218</v>
      </c>
      <c r="I20" s="230">
        <f t="shared" si="4"/>
        <v>374216.41211666982</v>
      </c>
      <c r="J20" s="420">
        <f>J19*(1+'Fayette County Statistics'!$L$5)</f>
        <v>18359.95109611503</v>
      </c>
      <c r="K20" s="236">
        <f>J20*'Regional Trail Users'!$M$10</f>
        <v>422.27887521064571</v>
      </c>
      <c r="L20" s="236">
        <f>(1*(K20*'Fayette County Statistics'!$C$10))+((1/2)*('Fayette County Statistics'!$D$12*'Reduced VMT'!K20))+((1/3)*(K20*'Fayette County Statistics'!$D$13))+((1/4)*('Reduced VMT'!K20*'Fayette County Statistics'!$D$14))+(1*('Fayette County Statistics'!$D$16*'Reduced VMT'!K20))+(1*('Reduced VMT'!K20*'Fayette County Statistics'!$D$17))</f>
        <v>398.99476164175042</v>
      </c>
      <c r="M20" s="407">
        <v>5</v>
      </c>
      <c r="N20" s="236">
        <f t="shared" si="9"/>
        <v>2</v>
      </c>
      <c r="O20" s="236">
        <f t="shared" si="10"/>
        <v>218</v>
      </c>
      <c r="P20" s="230">
        <f t="shared" si="5"/>
        <v>869808.58037901588</v>
      </c>
      <c r="Q20" s="414">
        <f t="shared" si="3"/>
        <v>1244024.9924956858</v>
      </c>
    </row>
    <row r="21" spans="1:17" x14ac:dyDescent="0.25">
      <c r="A21" s="142">
        <v>2031</v>
      </c>
      <c r="B21" s="243">
        <f>'Bicycle Users'!BF20</f>
        <v>493.44163636776426</v>
      </c>
      <c r="C21" s="38">
        <f>'Pedestrian Users'!BM20</f>
        <v>425.11453967584475</v>
      </c>
      <c r="D21" s="38">
        <f t="shared" si="6"/>
        <v>918.55617604360896</v>
      </c>
      <c r="E21" s="38">
        <f>(1*(D21*'Fayette County Statistics'!$C$10))+((1/2)*('Fayette County Statistics'!$D$12*'Reduced VMT'!D21))+((1/3)*(D21*'Fayette County Statistics'!$D$13))+((1/4)*('Reduced VMT'!D21*'Fayette County Statistics'!$D$14))+(1*('Fayette County Statistics'!$D$16*'Reduced VMT'!D21))+(1*('Reduced VMT'!D21*'Fayette County Statistics'!$D$17))</f>
        <v>867.90773592985545</v>
      </c>
      <c r="F21" s="60">
        <v>1</v>
      </c>
      <c r="G21" s="50">
        <f>Inputs!$B$37</f>
        <v>2</v>
      </c>
      <c r="H21" s="50">
        <f>Inputs!$B$19</f>
        <v>218</v>
      </c>
      <c r="I21" s="230">
        <f t="shared" si="4"/>
        <v>378407.77286541695</v>
      </c>
      <c r="J21" s="420">
        <f>J20*(1+'Fayette County Statistics'!$L$5)</f>
        <v>18565.589266653587</v>
      </c>
      <c r="K21" s="236">
        <f>J21*'Regional Trail Users'!$M$10</f>
        <v>427.00855313303248</v>
      </c>
      <c r="L21" s="236">
        <f>(1*(K21*'Fayette County Statistics'!$C$10))+((1/2)*('Fayette County Statistics'!$D$12*'Reduced VMT'!K21))+((1/3)*(K21*'Fayette County Statistics'!$D$13))+((1/4)*('Reduced VMT'!K21*'Fayette County Statistics'!$D$14))+(1*('Fayette County Statistics'!$D$16*'Reduced VMT'!K21))+(1*('Reduced VMT'!K21*'Fayette County Statistics'!$D$17))</f>
        <v>403.463648972057</v>
      </c>
      <c r="M21" s="407">
        <v>5</v>
      </c>
      <c r="N21" s="236">
        <f t="shared" si="9"/>
        <v>2</v>
      </c>
      <c r="O21" s="236">
        <f t="shared" si="10"/>
        <v>218</v>
      </c>
      <c r="P21" s="230">
        <f t="shared" si="5"/>
        <v>879550.7547590842</v>
      </c>
      <c r="Q21" s="414">
        <f t="shared" si="3"/>
        <v>1257958.5276245011</v>
      </c>
    </row>
    <row r="22" spans="1:17" x14ac:dyDescent="0.25">
      <c r="A22" s="142">
        <v>2032</v>
      </c>
      <c r="B22" s="243">
        <f>'Bicycle Users'!BF21</f>
        <v>498.96836325494485</v>
      </c>
      <c r="C22" s="38">
        <f>'Pedestrian Users'!BM21</f>
        <v>429.87597807786642</v>
      </c>
      <c r="D22" s="38">
        <f t="shared" si="6"/>
        <v>928.84434133281127</v>
      </c>
      <c r="E22" s="38">
        <f>(1*(D22*'Fayette County Statistics'!$C$10))+((1/2)*('Fayette County Statistics'!$D$12*'Reduced VMT'!D22))+((1/3)*(D22*'Fayette County Statistics'!$D$13))+((1/4)*('Reduced VMT'!D22*'Fayette County Statistics'!$D$14))+(1*('Fayette County Statistics'!$D$16*'Reduced VMT'!D22))+(1*('Reduced VMT'!D22*'Fayette County Statistics'!$D$17))</f>
        <v>877.62862015653752</v>
      </c>
      <c r="F22" s="60">
        <v>1</v>
      </c>
      <c r="G22" s="50">
        <f>Inputs!$B$37</f>
        <v>2</v>
      </c>
      <c r="H22" s="50">
        <f>Inputs!$B$19</f>
        <v>218</v>
      </c>
      <c r="I22" s="230">
        <f t="shared" si="4"/>
        <v>382646.07838825037</v>
      </c>
      <c r="J22" s="420">
        <f>J21*(1+'Fayette County Statistics'!$L$5)</f>
        <v>18773.530659949171</v>
      </c>
      <c r="K22" s="236">
        <f>J22*'Regional Trail Users'!$M$10</f>
        <v>431.79120517883092</v>
      </c>
      <c r="L22" s="236">
        <f>(1*(K22*'Fayette County Statistics'!$C$10))+((1/2)*('Fayette County Statistics'!$D$12*'Reduced VMT'!K22))+((1/3)*(K22*'Fayette County Statistics'!$D$13))+((1/4)*('Reduced VMT'!K22*'Fayette County Statistics'!$D$14))+(1*('Fayette County Statistics'!$D$16*'Reduced VMT'!K22))+(1*('Reduced VMT'!K22*'Fayette County Statistics'!$D$17))</f>
        <v>407.98258947571549</v>
      </c>
      <c r="M22" s="407">
        <v>5</v>
      </c>
      <c r="N22" s="236">
        <f t="shared" si="9"/>
        <v>2</v>
      </c>
      <c r="O22" s="236">
        <f t="shared" si="10"/>
        <v>218</v>
      </c>
      <c r="P22" s="230">
        <f t="shared" si="5"/>
        <v>889402.04505705973</v>
      </c>
      <c r="Q22" s="414">
        <f t="shared" si="3"/>
        <v>1272048.1234453102</v>
      </c>
    </row>
    <row r="23" spans="1:17" x14ac:dyDescent="0.25">
      <c r="A23" s="142">
        <v>2033</v>
      </c>
      <c r="B23" s="243">
        <f>'Bicycle Users'!BF22</f>
        <v>504.55699150559832</v>
      </c>
      <c r="C23" s="38">
        <f>'Pedestrian Users'!BM22</f>
        <v>434.69074633229332</v>
      </c>
      <c r="D23" s="38">
        <f t="shared" si="6"/>
        <v>939.24773783789169</v>
      </c>
      <c r="E23" s="38">
        <f>(1*(D23*'Fayette County Statistics'!$C$10))+((1/2)*('Fayette County Statistics'!$D$12*'Reduced VMT'!D23))+((1/3)*(D23*'Fayette County Statistics'!$D$13))+((1/4)*('Reduced VMT'!D23*'Fayette County Statistics'!$D$14))+(1*('Fayette County Statistics'!$D$16*'Reduced VMT'!D23))+(1*('Reduced VMT'!D23*'Fayette County Statistics'!$D$17))</f>
        <v>887.45838184361833</v>
      </c>
      <c r="F23" s="60">
        <v>1</v>
      </c>
      <c r="G23" s="50">
        <f>Inputs!$B$37</f>
        <v>2</v>
      </c>
      <c r="H23" s="50">
        <f>Inputs!$B$19</f>
        <v>218</v>
      </c>
      <c r="I23" s="230">
        <f t="shared" si="4"/>
        <v>386931.85448381759</v>
      </c>
      <c r="J23" s="420">
        <f>J22*(1+'Fayette County Statistics'!$L$5)</f>
        <v>18983.801072939452</v>
      </c>
      <c r="K23" s="236">
        <f>J23*'Regional Trail Users'!$M$10</f>
        <v>436.62742467760739</v>
      </c>
      <c r="L23" s="236">
        <f>(1*(K23*'Fayette County Statistics'!$C$10))+((1/2)*('Fayette County Statistics'!$D$12*'Reduced VMT'!K23))+((1/3)*(K23*'Fayette County Statistics'!$D$13))+((1/4)*('Reduced VMT'!K23*'Fayette County Statistics'!$D$14))+(1*('Fayette County Statistics'!$D$16*'Reduced VMT'!K23))+(1*('Reduced VMT'!K23*'Fayette County Statistics'!$D$17))</f>
        <v>412.55214376658301</v>
      </c>
      <c r="M23" s="407">
        <v>5</v>
      </c>
      <c r="N23" s="236">
        <f t="shared" si="9"/>
        <v>2</v>
      </c>
      <c r="O23" s="236">
        <f t="shared" si="10"/>
        <v>218</v>
      </c>
      <c r="P23" s="230">
        <f t="shared" si="5"/>
        <v>899363.67341115105</v>
      </c>
      <c r="Q23" s="414">
        <f t="shared" si="3"/>
        <v>1286295.5278949686</v>
      </c>
    </row>
    <row r="24" spans="1:17" x14ac:dyDescent="0.25">
      <c r="A24" s="142">
        <v>2034</v>
      </c>
      <c r="B24" s="243">
        <f>'Bicycle Users'!BF23</f>
        <v>510.20821443764652</v>
      </c>
      <c r="C24" s="38">
        <f>'Pedestrian Users'!BM23</f>
        <v>439.55944175298686</v>
      </c>
      <c r="D24" s="38">
        <f t="shared" si="6"/>
        <v>949.76765619063337</v>
      </c>
      <c r="E24" s="38">
        <f>(1*(D24*'Fayette County Statistics'!$C$10))+((1/2)*('Fayette County Statistics'!$D$12*'Reduced VMT'!D24))+((1/3)*(D24*'Fayette County Statistics'!$D$13))+((1/4)*('Reduced VMT'!D24*'Fayette County Statistics'!$D$14))+(1*('Fayette County Statistics'!$D$16*'Reduced VMT'!D24))+(1*('Reduced VMT'!D24*'Fayette County Statistics'!$D$17))</f>
        <v>897.39824045849457</v>
      </c>
      <c r="F24" s="60">
        <v>1</v>
      </c>
      <c r="G24" s="50">
        <f>Inputs!$B$37</f>
        <v>2</v>
      </c>
      <c r="H24" s="50">
        <f>Inputs!$B$19</f>
        <v>218</v>
      </c>
      <c r="I24" s="230">
        <f t="shared" si="4"/>
        <v>391265.63283990364</v>
      </c>
      <c r="J24" s="420">
        <f>J23*(1+'Fayette County Statistics'!$L$5)</f>
        <v>19196.426591497246</v>
      </c>
      <c r="K24" s="236">
        <f>J24*'Regional Trail Users'!$M$10</f>
        <v>441.51781160443664</v>
      </c>
      <c r="L24" s="236">
        <f>(1*(K24*'Fayette County Statistics'!$C$10))+((1/2)*('Fayette County Statistics'!$D$12*'Reduced VMT'!K24))+((1/3)*(K24*'Fayette County Statistics'!$D$13))+((1/4)*('Reduced VMT'!K24*'Fayette County Statistics'!$D$14))+(1*('Fayette County Statistics'!$D$16*'Reduced VMT'!K24))+(1*('Reduced VMT'!K24*'Fayette County Statistics'!$D$17))</f>
        <v>417.1728787375967</v>
      </c>
      <c r="M24" s="407">
        <v>5</v>
      </c>
      <c r="N24" s="236">
        <f t="shared" si="9"/>
        <v>2</v>
      </c>
      <c r="O24" s="236">
        <f t="shared" si="10"/>
        <v>218</v>
      </c>
      <c r="P24" s="230">
        <f t="shared" si="5"/>
        <v>909436.87564796081</v>
      </c>
      <c r="Q24" s="414">
        <f t="shared" si="3"/>
        <v>1300702.5084878644</v>
      </c>
    </row>
    <row r="25" spans="1:17" x14ac:dyDescent="0.25">
      <c r="A25" s="142">
        <v>2035</v>
      </c>
      <c r="B25" s="243">
        <f>'Bicycle Users'!BF24</f>
        <v>515.9227331344257</v>
      </c>
      <c r="C25" s="38">
        <f>'Pedestrian Users'!BM24</f>
        <v>444.48266834394224</v>
      </c>
      <c r="D25" s="38">
        <f t="shared" si="6"/>
        <v>960.40540147836793</v>
      </c>
      <c r="E25" s="38">
        <f>(1*(D25*'Fayette County Statistics'!$C$10))+((1/2)*('Fayette County Statistics'!$D$12*'Reduced VMT'!D25))+((1/3)*(D25*'Fayette County Statistics'!$D$13))+((1/4)*('Reduced VMT'!D25*'Fayette County Statistics'!$D$14))+(1*('Fayette County Statistics'!$D$16*'Reduced VMT'!D25))+(1*('Reduced VMT'!D25*'Fayette County Statistics'!$D$17))</f>
        <v>907.44942912704471</v>
      </c>
      <c r="F25" s="60">
        <v>1</v>
      </c>
      <c r="G25" s="50">
        <f>Inputs!$B$37</f>
        <v>2</v>
      </c>
      <c r="H25" s="50">
        <f>Inputs!$B$19</f>
        <v>218</v>
      </c>
      <c r="I25" s="230">
        <f t="shared" si="4"/>
        <v>395647.9510993915</v>
      </c>
      <c r="J25" s="420">
        <f>J24*(1+'Fayette County Statistics'!$L$5)</f>
        <v>19411.433593666687</v>
      </c>
      <c r="K25" s="236">
        <f>J25*'Regional Trail Users'!$M$10</f>
        <v>446.46297265433378</v>
      </c>
      <c r="L25" s="236">
        <f>(1*(K25*'Fayette County Statistics'!$C$10))+((1/2)*('Fayette County Statistics'!$D$12*'Reduced VMT'!K25))+((1/3)*(K25*'Fayette County Statistics'!$D$13))+((1/4)*('Reduced VMT'!K25*'Fayette County Statistics'!$D$14))+(1*('Fayette County Statistics'!$D$16*'Reduced VMT'!K25))+(1*('Reduced VMT'!K25*'Fayette County Statistics'!$D$17))</f>
        <v>421.84536763110231</v>
      </c>
      <c r="M25" s="407">
        <v>5</v>
      </c>
      <c r="N25" s="236">
        <f t="shared" si="9"/>
        <v>2</v>
      </c>
      <c r="O25" s="236">
        <f t="shared" si="10"/>
        <v>218</v>
      </c>
      <c r="P25" s="230">
        <f t="shared" si="5"/>
        <v>919622.90143580292</v>
      </c>
      <c r="Q25" s="414">
        <f t="shared" si="3"/>
        <v>1315270.8525351945</v>
      </c>
    </row>
    <row r="26" spans="1:17" x14ac:dyDescent="0.25">
      <c r="A26" s="142">
        <v>2036</v>
      </c>
      <c r="B26" s="243">
        <f>'Bicycle Users'!BF25</f>
        <v>521.70125653166201</v>
      </c>
      <c r="C26" s="38">
        <f>'Pedestrian Users'!BM25</f>
        <v>449.46103687422033</v>
      </c>
      <c r="D26" s="38">
        <f t="shared" si="6"/>
        <v>971.16229340588234</v>
      </c>
      <c r="E26" s="38">
        <f>(1*(D26*'Fayette County Statistics'!$C$10))+((1/2)*('Fayette County Statistics'!$D$12*'Reduced VMT'!D26))+((1/3)*(D26*'Fayette County Statistics'!$D$13))+((1/4)*('Reduced VMT'!D26*'Fayette County Statistics'!$D$14))+(1*('Fayette County Statistics'!$D$16*'Reduced VMT'!D26))+(1*('Reduced VMT'!D26*'Fayette County Statistics'!$D$17))</f>
        <v>917.61319478660732</v>
      </c>
      <c r="F26" s="60">
        <v>1</v>
      </c>
      <c r="G26" s="50">
        <f>Inputs!$B$37</f>
        <v>2</v>
      </c>
      <c r="H26" s="50">
        <f>Inputs!$B$19</f>
        <v>218</v>
      </c>
      <c r="I26" s="230">
        <f t="shared" si="4"/>
        <v>400079.3529269608</v>
      </c>
      <c r="J26" s="420">
        <f>J25*(1+'Fayette County Statistics'!$L$5)</f>
        <v>19628.848752935653</v>
      </c>
      <c r="K26" s="236">
        <f>J26*'Regional Trail Users'!$M$10</f>
        <v>451.46352131752002</v>
      </c>
      <c r="L26" s="236">
        <f>(1*(K26*'Fayette County Statistics'!$C$10))+((1/2)*('Fayette County Statistics'!$D$12*'Reduced VMT'!K26))+((1/3)*(K26*'Fayette County Statistics'!$D$13))+((1/4)*('Reduced VMT'!K26*'Fayette County Statistics'!$D$14))+(1*('Fayette County Statistics'!$D$16*'Reduced VMT'!K26))+(1*('Reduced VMT'!K26*'Fayette County Statistics'!$D$17))</f>
        <v>426.57019010996947</v>
      </c>
      <c r="M26" s="407">
        <v>5</v>
      </c>
      <c r="N26" s="236">
        <f t="shared" si="9"/>
        <v>2</v>
      </c>
      <c r="O26" s="236">
        <f t="shared" si="10"/>
        <v>218</v>
      </c>
      <c r="P26" s="230">
        <f t="shared" si="5"/>
        <v>929923.01443973347</v>
      </c>
      <c r="Q26" s="414">
        <f t="shared" si="3"/>
        <v>1330002.3673666944</v>
      </c>
    </row>
    <row r="27" spans="1:17" x14ac:dyDescent="0.25">
      <c r="A27" s="142">
        <v>2037</v>
      </c>
      <c r="B27" s="243">
        <f>'Bicycle Users'!BF26</f>
        <v>527.54450150542118</v>
      </c>
      <c r="C27" s="38">
        <f>'Pedestrian Users'!BM26</f>
        <v>454.49516495371915</v>
      </c>
      <c r="D27" s="38">
        <f t="shared" si="6"/>
        <v>982.03966645914034</v>
      </c>
      <c r="E27" s="38">
        <f>(1*(D27*'Fayette County Statistics'!$C$10))+((1/2)*('Fayette County Statistics'!$D$12*'Reduced VMT'!D27))+((1/3)*(D27*'Fayette County Statistics'!$D$13))+((1/4)*('Reduced VMT'!D27*'Fayette County Statistics'!$D$14))+(1*('Fayette County Statistics'!$D$16*'Reduced VMT'!D27))+(1*('Reduced VMT'!D27*'Fayette County Statistics'!$D$17))</f>
        <v>927.89079834067616</v>
      </c>
      <c r="F27" s="60">
        <v>1</v>
      </c>
      <c r="G27" s="50">
        <f>Inputs!$B$37</f>
        <v>2</v>
      </c>
      <c r="H27" s="50">
        <f>Inputs!$B$19</f>
        <v>218</v>
      </c>
      <c r="I27" s="230">
        <f t="shared" si="4"/>
        <v>404560.38807653479</v>
      </c>
      <c r="J27" s="420">
        <f>J26*(1+'Fayette County Statistics'!$L$5)</f>
        <v>19848.699041544856</v>
      </c>
      <c r="K27" s="236">
        <f>J27*'Regional Trail Users'!$M$10</f>
        <v>456.52007795553169</v>
      </c>
      <c r="L27" s="236">
        <f>(1*(K27*'Fayette County Statistics'!$C$10))+((1/2)*('Fayette County Statistics'!$D$12*'Reduced VMT'!K27))+((1/3)*(K27*'Fayette County Statistics'!$D$13))+((1/4)*('Reduced VMT'!K27*'Fayette County Statistics'!$D$14))+(1*('Fayette County Statistics'!$D$16*'Reduced VMT'!K27))+(1*('Reduced VMT'!K27*'Fayette County Statistics'!$D$17))</f>
        <v>431.34793232950398</v>
      </c>
      <c r="M27" s="407">
        <v>5</v>
      </c>
      <c r="N27" s="236">
        <f t="shared" si="9"/>
        <v>2</v>
      </c>
      <c r="O27" s="236">
        <f t="shared" si="10"/>
        <v>218</v>
      </c>
      <c r="P27" s="230">
        <f t="shared" si="5"/>
        <v>940338.49247831863</v>
      </c>
      <c r="Q27" s="414">
        <f t="shared" si="3"/>
        <v>1344898.8805548535</v>
      </c>
    </row>
    <row r="28" spans="1:17" x14ac:dyDescent="0.25">
      <c r="A28" s="142">
        <v>2038</v>
      </c>
      <c r="B28" s="243">
        <f>'Bicycle Users'!BF27</f>
        <v>533.4531929610431</v>
      </c>
      <c r="C28" s="38">
        <f>'Pedestrian Users'!BM27</f>
        <v>459.58567710979344</v>
      </c>
      <c r="D28" s="38">
        <f t="shared" si="6"/>
        <v>993.03887007083654</v>
      </c>
      <c r="E28" s="38">
        <f>(1*(D28*'Fayette County Statistics'!$C$10))+((1/2)*('Fayette County Statistics'!$D$12*'Reduced VMT'!D28))+((1/3)*(D28*'Fayette County Statistics'!$D$13))+((1/4)*('Reduced VMT'!D28*'Fayette County Statistics'!$D$14))+(1*('Fayette County Statistics'!$D$16*'Reduced VMT'!D28))+(1*('Reduced VMT'!D28*'Fayette County Statistics'!$D$17))</f>
        <v>938.28351481532468</v>
      </c>
      <c r="F28" s="60">
        <v>1</v>
      </c>
      <c r="G28" s="50">
        <f>Inputs!$B$37</f>
        <v>2</v>
      </c>
      <c r="H28" s="50">
        <f>Inputs!$B$19</f>
        <v>218</v>
      </c>
      <c r="I28" s="230">
        <f t="shared" si="4"/>
        <v>409091.61245948158</v>
      </c>
      <c r="J28" s="420">
        <f>J27*(1+'Fayette County Statistics'!$L$5)</f>
        <v>20071.011733833966</v>
      </c>
      <c r="K28" s="236">
        <f>J28*'Regional Trail Users'!$M$10</f>
        <v>461.63326987818124</v>
      </c>
      <c r="L28" s="236">
        <f>(1*(K28*'Fayette County Statistics'!$C$10))+((1/2)*('Fayette County Statistics'!$D$12*'Reduced VMT'!K28))+((1/3)*(K28*'Fayette County Statistics'!$D$13))+((1/4)*('Reduced VMT'!K28*'Fayette County Statistics'!$D$14))+(1*('Fayette County Statistics'!$D$16*'Reduced VMT'!K28))+(1*('Reduced VMT'!K28*'Fayette County Statistics'!$D$17))</f>
        <v>436.17918701016595</v>
      </c>
      <c r="M28" s="407">
        <v>5</v>
      </c>
      <c r="N28" s="236">
        <f t="shared" si="9"/>
        <v>2</v>
      </c>
      <c r="O28" s="236">
        <f t="shared" si="10"/>
        <v>218</v>
      </c>
      <c r="P28" s="230">
        <f t="shared" si="5"/>
        <v>950870.62768216187</v>
      </c>
      <c r="Q28" s="414">
        <f t="shared" si="3"/>
        <v>1359962.2401416434</v>
      </c>
    </row>
    <row r="29" spans="1:17" x14ac:dyDescent="0.25">
      <c r="A29" s="142">
        <v>2039</v>
      </c>
      <c r="B29" s="243">
        <f>'Bicycle Users'!BF28</f>
        <v>539.42806392307261</v>
      </c>
      <c r="C29" s="38">
        <f>'Pedestrian Users'!BM28</f>
        <v>464.73320486473278</v>
      </c>
      <c r="D29" s="38">
        <f t="shared" si="6"/>
        <v>1004.1612687878054</v>
      </c>
      <c r="E29" s="38">
        <f>(1*(D29*'Fayette County Statistics'!$C$10))+((1/2)*('Fayette County Statistics'!$D$12*'Reduced VMT'!D29))+((1/3)*(D29*'Fayette County Statistics'!$D$13))+((1/4)*('Reduced VMT'!D29*'Fayette County Statistics'!$D$14))+(1*('Fayette County Statistics'!$D$16*'Reduced VMT'!D29))+(1*('Reduced VMT'!D29*'Fayette County Statistics'!$D$17))</f>
        <v>948.79263351738575</v>
      </c>
      <c r="F29" s="60">
        <v>1</v>
      </c>
      <c r="G29" s="50">
        <f>Inputs!$B$37</f>
        <v>2</v>
      </c>
      <c r="H29" s="50">
        <f>Inputs!$B$19</f>
        <v>218</v>
      </c>
      <c r="I29" s="230">
        <f t="shared" si="4"/>
        <v>413673.58821358019</v>
      </c>
      <c r="J29" s="420">
        <f>J28*(1+'Fayette County Statistics'!$L$5)</f>
        <v>20295.814409625236</v>
      </c>
      <c r="K29" s="236">
        <f>J29*'Regional Trail Users'!$M$10</f>
        <v>466.80373142138041</v>
      </c>
      <c r="L29" s="236">
        <f>(1*(K29*'Fayette County Statistics'!$C$10))+((1/2)*('Fayette County Statistics'!$D$12*'Reduced VMT'!K29))+((1/3)*(K29*'Fayette County Statistics'!$D$13))+((1/4)*('Reduced VMT'!K29*'Fayette County Statistics'!$D$14))+(1*('Fayette County Statistics'!$D$16*'Reduced VMT'!K29))+(1*('Reduced VMT'!K29*'Fayette County Statistics'!$D$17))</f>
        <v>441.06455351110083</v>
      </c>
      <c r="M29" s="407">
        <v>5</v>
      </c>
      <c r="N29" s="236">
        <f t="shared" si="9"/>
        <v>2</v>
      </c>
      <c r="O29" s="236">
        <f t="shared" si="10"/>
        <v>218</v>
      </c>
      <c r="P29" s="230">
        <f t="shared" si="5"/>
        <v>961520.72665419977</v>
      </c>
      <c r="Q29" s="414">
        <f t="shared" si="3"/>
        <v>1375194.3148677801</v>
      </c>
    </row>
    <row r="30" spans="1:17" x14ac:dyDescent="0.25">
      <c r="A30" s="142">
        <v>2040</v>
      </c>
      <c r="B30" s="243">
        <f>'Bicycle Users'!BF29</f>
        <v>545.46985562619807</v>
      </c>
      <c r="C30" s="38">
        <f>'Pedestrian Users'!BM29</f>
        <v>469.93838681410773</v>
      </c>
      <c r="D30" s="38">
        <f t="shared" si="6"/>
        <v>1015.4082424403058</v>
      </c>
      <c r="E30" s="38">
        <f>(1*(D30*'Fayette County Statistics'!$C$10))+((1/2)*('Fayette County Statistics'!$D$12*'Reduced VMT'!D30))+((1/3)*(D30*'Fayette County Statistics'!$D$13))+((1/4)*('Reduced VMT'!D30*'Fayette County Statistics'!$D$14))+(1*('Fayette County Statistics'!$D$16*'Reduced VMT'!D30))+(1*('Reduced VMT'!D30*'Fayette County Statistics'!$D$17))</f>
        <v>959.41945819440048</v>
      </c>
      <c r="F30" s="60">
        <v>1</v>
      </c>
      <c r="G30" s="50">
        <f>Inputs!$B$37</f>
        <v>2</v>
      </c>
      <c r="H30" s="50">
        <f>Inputs!$B$19</f>
        <v>218</v>
      </c>
      <c r="I30" s="230">
        <f t="shared" si="4"/>
        <v>418306.88377275859</v>
      </c>
      <c r="J30" s="420">
        <f>J29*(1+'Fayette County Statistics'!$L$5)</f>
        <v>20523.134957645027</v>
      </c>
      <c r="K30" s="236">
        <f>J30*'Regional Trail Users'!$M$10</f>
        <v>472.03210402583562</v>
      </c>
      <c r="L30" s="236">
        <f>(1*(K30*'Fayette County Statistics'!$C$10))+((1/2)*('Fayette County Statistics'!$D$12*'Reduced VMT'!K30))+((1/3)*(K30*'Fayette County Statistics'!$D$13))+((1/4)*('Reduced VMT'!K30*'Fayette County Statistics'!$D$14))+(1*('Fayette County Statistics'!$D$16*'Reduced VMT'!K30))+(1*('Reduced VMT'!K30*'Fayette County Statistics'!$D$17))</f>
        <v>446.0046379044968</v>
      </c>
      <c r="M30" s="407">
        <v>5</v>
      </c>
      <c r="N30" s="236">
        <f t="shared" si="9"/>
        <v>2</v>
      </c>
      <c r="O30" s="236">
        <f t="shared" si="10"/>
        <v>218</v>
      </c>
      <c r="P30" s="230">
        <f t="shared" si="5"/>
        <v>972290.11063180317</v>
      </c>
      <c r="Q30" s="414">
        <f t="shared" si="3"/>
        <v>1390596.9944045618</v>
      </c>
    </row>
    <row r="31" spans="1:17" x14ac:dyDescent="0.25">
      <c r="A31" s="142">
        <v>2041</v>
      </c>
      <c r="B31" s="243">
        <f>'Bicycle Users'!BF30</f>
        <v>551.57931760720714</v>
      </c>
      <c r="C31" s="38">
        <f>'Pedestrian Users'!BM30</f>
        <v>475.20186870599258</v>
      </c>
      <c r="D31" s="38">
        <f t="shared" si="6"/>
        <v>1026.7811863131997</v>
      </c>
      <c r="E31" s="38">
        <f>(1*(D31*'Fayette County Statistics'!$C$10))+((1/2)*('Fayette County Statistics'!$D$12*'Reduced VMT'!D31))+((1/3)*(D31*'Fayette County Statistics'!$D$13))+((1/4)*('Reduced VMT'!D31*'Fayette County Statistics'!$D$14))+(1*('Fayette County Statistics'!$D$16*'Reduced VMT'!D31))+(1*('Reduced VMT'!D31*'Fayette County Statistics'!$D$17))</f>
        <v>970.16530719635853</v>
      </c>
      <c r="F31" s="60">
        <v>1</v>
      </c>
      <c r="G31" s="50">
        <f>Inputs!$B$37</f>
        <v>2</v>
      </c>
      <c r="H31" s="50">
        <f>Inputs!$B$19</f>
        <v>218</v>
      </c>
      <c r="I31" s="230">
        <f t="shared" si="4"/>
        <v>422992.07393761229</v>
      </c>
      <c r="J31" s="420">
        <f>J30*(1+'Fayette County Statistics'!$L$5)</f>
        <v>20753.001578983636</v>
      </c>
      <c r="K31" s="236">
        <f>J31*'Regional Trail Users'!$M$10</f>
        <v>477.31903631662362</v>
      </c>
      <c r="L31" s="236">
        <f>(1*(K31*'Fayette County Statistics'!$C$10))+((1/2)*('Fayette County Statistics'!$D$12*'Reduced VMT'!K31))+((1/3)*(K31*'Fayette County Statistics'!$D$13))+((1/4)*('Reduced VMT'!K31*'Fayette County Statistics'!$D$14))+(1*('Fayette County Statistics'!$D$16*'Reduced VMT'!K31))+(1*('Reduced VMT'!K31*'Fayette County Statistics'!$D$17))</f>
        <v>451.00005305077133</v>
      </c>
      <c r="M31" s="407">
        <v>5</v>
      </c>
      <c r="N31" s="236">
        <f t="shared" si="9"/>
        <v>2</v>
      </c>
      <c r="O31" s="236">
        <f t="shared" si="10"/>
        <v>218</v>
      </c>
      <c r="P31" s="230">
        <f t="shared" si="5"/>
        <v>983180.11565068143</v>
      </c>
      <c r="Q31" s="414">
        <f t="shared" si="3"/>
        <v>1406172.1895882937</v>
      </c>
    </row>
    <row r="32" spans="1:17" x14ac:dyDescent="0.25">
      <c r="A32" s="142">
        <v>2042</v>
      </c>
      <c r="B32" s="243">
        <f>'Bicycle Users'!BF31</f>
        <v>557.75720779797427</v>
      </c>
      <c r="C32" s="38">
        <f>'Pedestrian Users'!BM31</f>
        <v>480.52430352107672</v>
      </c>
      <c r="D32" s="38">
        <f t="shared" si="6"/>
        <v>1038.2815113190509</v>
      </c>
      <c r="E32" s="38">
        <f>(1*(D32*'Fayette County Statistics'!$C$10))+((1/2)*('Fayette County Statistics'!$D$12*'Reduced VMT'!D32))+((1/3)*(D32*'Fayette County Statistics'!$D$13))+((1/4)*('Reduced VMT'!D32*'Fayette County Statistics'!$D$14))+(1*('Fayette County Statistics'!$D$16*'Reduced VMT'!D32))+(1*('Reduced VMT'!D32*'Fayette County Statistics'!$D$17))</f>
        <v>981.03151363925315</v>
      </c>
      <c r="F32" s="60">
        <v>1</v>
      </c>
      <c r="G32" s="50">
        <f>Inputs!$B$37</f>
        <v>2</v>
      </c>
      <c r="H32" s="50">
        <f>Inputs!$B$19</f>
        <v>218</v>
      </c>
      <c r="I32" s="230">
        <f t="shared" si="4"/>
        <v>427729.73994671437</v>
      </c>
      <c r="J32" s="420">
        <f>J31*(1+'Fayette County Statistics'!$L$5)</f>
        <v>20985.44279059389</v>
      </c>
      <c r="K32" s="236">
        <f>J32*'Regional Trail Users'!$M$10</f>
        <v>482.66518418365945</v>
      </c>
      <c r="L32" s="236">
        <f>(1*(K32*'Fayette County Statistics'!$C$10))+((1/2)*('Fayette County Statistics'!$D$12*'Reduced VMT'!K32))+((1/3)*(K32*'Fayette County Statistics'!$D$13))+((1/4)*('Reduced VMT'!K32*'Fayette County Statistics'!$D$14))+(1*('Fayette County Statistics'!$D$16*'Reduced VMT'!K32))+(1*('Reduced VMT'!K32*'Fayette County Statistics'!$D$17))</f>
        <v>456.05141867460321</v>
      </c>
      <c r="M32" s="407">
        <v>5</v>
      </c>
      <c r="N32" s="236">
        <f t="shared" si="9"/>
        <v>2</v>
      </c>
      <c r="O32" s="236">
        <f t="shared" si="10"/>
        <v>218</v>
      </c>
      <c r="P32" s="230">
        <f t="shared" si="5"/>
        <v>994192.09271063504</v>
      </c>
      <c r="Q32" s="414">
        <f t="shared" si="3"/>
        <v>1421921.8326573493</v>
      </c>
    </row>
    <row r="33" spans="1:17" x14ac:dyDescent="0.25">
      <c r="A33" s="142">
        <v>2043</v>
      </c>
      <c r="B33" s="243">
        <f>'Bicycle Users'!BF32</f>
        <v>564.00429261948761</v>
      </c>
      <c r="C33" s="38">
        <f>'Pedestrian Users'!BM32</f>
        <v>485.90635155367181</v>
      </c>
      <c r="D33" s="38">
        <f t="shared" si="6"/>
        <v>1049.9106441731594</v>
      </c>
      <c r="E33" s="38">
        <f>(1*(D33*'Fayette County Statistics'!$C$10))+((1/2)*('Fayette County Statistics'!$D$12*'Reduced VMT'!D33))+((1/3)*(D33*'Fayette County Statistics'!$D$13))+((1/4)*('Reduced VMT'!D33*'Fayette County Statistics'!$D$14))+(1*('Fayette County Statistics'!$D$16*'Reduced VMT'!D33))+(1*('Reduced VMT'!D33*'Fayette County Statistics'!$D$17))</f>
        <v>992.01942557046391</v>
      </c>
      <c r="F33" s="60">
        <v>1</v>
      </c>
      <c r="G33" s="50">
        <f>Inputs!$B$37</f>
        <v>2</v>
      </c>
      <c r="H33" s="50">
        <f>Inputs!$B$19</f>
        <v>218</v>
      </c>
      <c r="I33" s="230">
        <f t="shared" si="4"/>
        <v>432520.46954872226</v>
      </c>
      <c r="J33" s="420">
        <f>J32*(1+'Fayette County Statistics'!$L$5)</f>
        <v>21220.487428828925</v>
      </c>
      <c r="K33" s="236">
        <f>J33*'Regional Trail Users'!$M$10</f>
        <v>488.07121086306529</v>
      </c>
      <c r="L33" s="236">
        <f>(1*(K33*'Fayette County Statistics'!$C$10))+((1/2)*('Fayette County Statistics'!$D$12*'Reduced VMT'!K33))+((1/3)*(K33*'Fayette County Statistics'!$D$13))+((1/4)*('Reduced VMT'!K33*'Fayette County Statistics'!$D$14))+(1*('Fayette County Statistics'!$D$16*'Reduced VMT'!K33))+(1*('Reduced VMT'!K33*'Fayette County Statistics'!$D$17))</f>
        <v>461.15936144181495</v>
      </c>
      <c r="M33" s="407">
        <v>5</v>
      </c>
      <c r="N33" s="236">
        <f t="shared" si="9"/>
        <v>2</v>
      </c>
      <c r="O33" s="236">
        <f t="shared" si="10"/>
        <v>218</v>
      </c>
      <c r="P33" s="230">
        <f t="shared" si="5"/>
        <v>1005327.4079431567</v>
      </c>
      <c r="Q33" s="414">
        <f t="shared" si="3"/>
        <v>1437847.8774918788</v>
      </c>
    </row>
    <row r="34" spans="1:17" x14ac:dyDescent="0.25">
      <c r="A34" s="142">
        <v>2044</v>
      </c>
      <c r="B34" s="243">
        <f>'Bicycle Users'!BF33</f>
        <v>570.32134707693149</v>
      </c>
      <c r="C34" s="38">
        <f>'Pedestrian Users'!BM33</f>
        <v>491.34868049362774</v>
      </c>
      <c r="D34" s="38">
        <f t="shared" si="6"/>
        <v>1061.6700275705593</v>
      </c>
      <c r="E34" s="38">
        <f>(1*(D34*'Fayette County Statistics'!$C$10))+((1/2)*('Fayette County Statistics'!$D$12*'Reduced VMT'!D34))+((1/3)*(D34*'Fayette County Statistics'!$D$13))+((1/4)*('Reduced VMT'!D34*'Fayette County Statistics'!$D$14))+(1*('Fayette County Statistics'!$D$16*'Reduced VMT'!D34))+(1*('Reduced VMT'!D34*'Fayette County Statistics'!$D$17))</f>
        <v>1003.1304061359942</v>
      </c>
      <c r="F34" s="60">
        <v>1</v>
      </c>
      <c r="G34" s="50">
        <f>Inputs!$B$37</f>
        <v>2</v>
      </c>
      <c r="H34" s="50">
        <f>Inputs!$B$19</f>
        <v>218</v>
      </c>
      <c r="I34" s="230">
        <f t="shared" si="4"/>
        <v>437364.85707529349</v>
      </c>
      <c r="J34" s="420">
        <f>J33*(1+'Fayette County Statistics'!$L$5)</f>
        <v>21458.164653019583</v>
      </c>
      <c r="K34" s="236">
        <f>J34*'Regional Trail Users'!$M$10</f>
        <v>493.53778701945038</v>
      </c>
      <c r="L34" s="236">
        <f>(1*(K34*'Fayette County Statistics'!$C$10))+((1/2)*('Fayette County Statistics'!$D$12*'Reduced VMT'!K34))+((1/3)*(K34*'Fayette County Statistics'!$D$13))+((1/4)*('Reduced VMT'!K34*'Fayette County Statistics'!$D$14))+(1*('Fayette County Statistics'!$D$16*'Reduced VMT'!K34))+(1*('Reduced VMT'!K34*'Fayette County Statistics'!$D$17))</f>
        <v>466.32451503711445</v>
      </c>
      <c r="M34" s="407">
        <v>5</v>
      </c>
      <c r="N34" s="236">
        <f t="shared" si="9"/>
        <v>2</v>
      </c>
      <c r="O34" s="236">
        <f t="shared" si="10"/>
        <v>218</v>
      </c>
      <c r="P34" s="230">
        <f t="shared" si="5"/>
        <v>1016587.4427809095</v>
      </c>
      <c r="Q34" s="414">
        <f t="shared" si="3"/>
        <v>1453952.2998562029</v>
      </c>
    </row>
    <row r="35" spans="1:17" x14ac:dyDescent="0.25">
      <c r="A35" s="142">
        <v>2045</v>
      </c>
      <c r="B35" s="243">
        <f>'Bicycle Users'!BF34</f>
        <v>576.70915485583134</v>
      </c>
      <c r="C35" s="38">
        <f>'Pedestrian Users'!BM34</f>
        <v>496.85196550916476</v>
      </c>
      <c r="D35" s="38">
        <f t="shared" si="6"/>
        <v>1073.561120364996</v>
      </c>
      <c r="E35" s="38">
        <f>(1*(D35*'Fayette County Statistics'!$C$10))+((1/2)*('Fayette County Statistics'!$D$12*'Reduced VMT'!D35))+((1/3)*(D35*'Fayette County Statistics'!$D$13))+((1/4)*('Reduced VMT'!D35*'Fayette County Statistics'!$D$14))+(1*('Fayette County Statistics'!$D$16*'Reduced VMT'!D35))+(1*('Reduced VMT'!D35*'Fayette County Statistics'!$D$17))</f>
        <v>1014.3658337495815</v>
      </c>
      <c r="F35" s="60">
        <v>1</v>
      </c>
      <c r="G35" s="50">
        <f>Inputs!$B$37</f>
        <v>2</v>
      </c>
      <c r="H35" s="50">
        <f>Inputs!$B$19</f>
        <v>218</v>
      </c>
      <c r="I35" s="230">
        <f t="shared" si="4"/>
        <v>442263.50351481751</v>
      </c>
      <c r="J35" s="420">
        <f>J34*(1+'Fayette County Statistics'!$L$5)</f>
        <v>21698.503949091879</v>
      </c>
      <c r="K35" s="236">
        <f>J35*'Regional Trail Users'!$M$10</f>
        <v>499.06559082911321</v>
      </c>
      <c r="L35" s="236">
        <f>(1*(K35*'Fayette County Statistics'!$C$10))+((1/2)*('Fayette County Statistics'!$D$12*'Reduced VMT'!K35))+((1/3)*(K35*'Fayette County Statistics'!$D$13))+((1/4)*('Reduced VMT'!K35*'Fayette County Statistics'!$D$14))+(1*('Fayette County Statistics'!$D$16*'Reduced VMT'!K35))+(1*('Reduced VMT'!K35*'Fayette County Statistics'!$D$17))</f>
        <v>471.54752024271136</v>
      </c>
      <c r="M35" s="407">
        <v>5</v>
      </c>
      <c r="N35" s="236">
        <f t="shared" si="9"/>
        <v>2</v>
      </c>
      <c r="O35" s="236">
        <f t="shared" si="10"/>
        <v>218</v>
      </c>
      <c r="P35" s="230">
        <f t="shared" si="5"/>
        <v>1027973.5941291108</v>
      </c>
      <c r="Q35" s="414">
        <f t="shared" si="3"/>
        <v>1470237.0976439284</v>
      </c>
    </row>
    <row r="36" spans="1:17" x14ac:dyDescent="0.25">
      <c r="A36" s="142">
        <v>2046</v>
      </c>
      <c r="B36" s="243">
        <f>'Bicycle Users'!BF35</f>
        <v>583.16850841927771</v>
      </c>
      <c r="C36" s="38">
        <f>'Pedestrian Users'!BM35</f>
        <v>502.4168893306346</v>
      </c>
      <c r="D36" s="38">
        <f t="shared" si="6"/>
        <v>1085.5853977499123</v>
      </c>
      <c r="E36" s="38">
        <f>(1*(D36*'Fayette County Statistics'!$C$10))+((1/2)*('Fayette County Statistics'!$D$12*'Reduced VMT'!D36))+((1/3)*(D36*'Fayette County Statistics'!$D$13))+((1/4)*('Reduced VMT'!D36*'Fayette County Statistics'!$D$14))+(1*('Fayette County Statistics'!$D$16*'Reduced VMT'!D36))+(1*('Reduced VMT'!D36*'Fayette County Statistics'!$D$17))</f>
        <v>1025.7271022637019</v>
      </c>
      <c r="F36" s="60">
        <v>1</v>
      </c>
      <c r="G36" s="50">
        <f>Inputs!$B$37</f>
        <v>2</v>
      </c>
      <c r="H36" s="50">
        <f>Inputs!$B$19</f>
        <v>218</v>
      </c>
      <c r="I36" s="230">
        <f t="shared" si="4"/>
        <v>447217.01658697403</v>
      </c>
      <c r="J36" s="420">
        <f>J35*(1+'Fayette County Statistics'!$L$5)</f>
        <v>21941.535133224992</v>
      </c>
      <c r="K36" s="236">
        <f>J36*'Regional Trail Users'!$M$10</f>
        <v>504.65530806417479</v>
      </c>
      <c r="L36" s="236">
        <f>(1*(K36*'Fayette County Statistics'!$C$10))+((1/2)*('Fayette County Statistics'!$D$12*'Reduced VMT'!K36))+((1/3)*(K36*'Fayette County Statistics'!$D$13))+((1/4)*('Reduced VMT'!K36*'Fayette County Statistics'!$D$14))+(1*('Fayette County Statistics'!$D$16*'Reduced VMT'!K36))+(1*('Reduced VMT'!K36*'Fayette County Statistics'!$D$17))</f>
        <v>476.82902501780973</v>
      </c>
      <c r="M36" s="407">
        <v>5</v>
      </c>
      <c r="N36" s="236">
        <f t="shared" si="9"/>
        <v>2</v>
      </c>
      <c r="O36" s="236">
        <f t="shared" si="10"/>
        <v>218</v>
      </c>
      <c r="P36" s="230">
        <f t="shared" si="5"/>
        <v>1039487.2745388251</v>
      </c>
      <c r="Q36" s="414">
        <f t="shared" si="3"/>
        <v>1486704.2911257991</v>
      </c>
    </row>
    <row r="37" spans="1:17" x14ac:dyDescent="0.25">
      <c r="A37" s="142">
        <v>2047</v>
      </c>
      <c r="B37" s="243">
        <f>'Bicycle Users'!BF36</f>
        <v>589.70020910623737</v>
      </c>
      <c r="C37" s="38">
        <f>'Pedestrian Users'!BM36</f>
        <v>508.04414233521834</v>
      </c>
      <c r="D37" s="38">
        <f t="shared" si="6"/>
        <v>1097.7443514414558</v>
      </c>
      <c r="E37" s="38">
        <f>(1*(D37*'Fayette County Statistics'!$C$10))+((1/2)*('Fayette County Statistics'!$D$12*'Reduced VMT'!D37))+((1/3)*(D37*'Fayette County Statistics'!$D$13))+((1/4)*('Reduced VMT'!D37*'Fayette County Statistics'!$D$14))+(1*('Fayette County Statistics'!$D$16*'Reduced VMT'!D37))+(1*('Reduced VMT'!D37*'Fayette County Statistics'!$D$17))</f>
        <v>1037.2156211424892</v>
      </c>
      <c r="F37" s="60">
        <v>1</v>
      </c>
      <c r="G37" s="50">
        <f>Inputs!$B$37</f>
        <v>2</v>
      </c>
      <c r="H37" s="50">
        <f>Inputs!$B$19</f>
        <v>218</v>
      </c>
      <c r="I37" s="230">
        <f t="shared" si="4"/>
        <v>452226.01081812533</v>
      </c>
      <c r="J37" s="420">
        <f>J36*(1+'Fayette County Statistics'!$L$5)</f>
        <v>22187.288355550219</v>
      </c>
      <c r="K37" s="236">
        <f>J37*'Regional Trail Users'!$M$10</f>
        <v>510.30763217765502</v>
      </c>
      <c r="L37" s="236">
        <f>(1*(K37*'Fayette County Statistics'!$C$10))+((1/2)*('Fayette County Statistics'!$D$12*'Reduced VMT'!K37))+((1/3)*(K37*'Fayette County Statistics'!$D$13))+((1/4)*('Reduced VMT'!K37*'Fayette County Statistics'!$D$14))+(1*('Fayette County Statistics'!$D$16*'Reduced VMT'!K37))+(1*('Reduced VMT'!K37*'Fayette County Statistics'!$D$17))</f>
        <v>482.16968457899412</v>
      </c>
      <c r="M37" s="407">
        <v>5</v>
      </c>
      <c r="N37" s="236">
        <f t="shared" si="9"/>
        <v>2</v>
      </c>
      <c r="O37" s="236">
        <f t="shared" si="10"/>
        <v>218</v>
      </c>
      <c r="P37" s="230">
        <f t="shared" si="5"/>
        <v>1051129.9123822071</v>
      </c>
      <c r="Q37" s="414">
        <f t="shared" si="3"/>
        <v>1503355.9232003326</v>
      </c>
    </row>
    <row r="38" spans="1:17" s="4" customFormat="1" x14ac:dyDescent="0.25">
      <c r="A38" s="142">
        <f>A37+1</f>
        <v>2048</v>
      </c>
      <c r="B38" s="243">
        <f>'Bicycle Users'!BF37</f>
        <v>596.30506723096687</v>
      </c>
      <c r="C38" s="38">
        <f>'Pedestrian Users'!BM37</f>
        <v>513.73442263257448</v>
      </c>
      <c r="D38" s="38">
        <f t="shared" ref="D38:D39" si="11">SUM(B38:C38)</f>
        <v>1110.0394898635413</v>
      </c>
      <c r="E38" s="38">
        <f>(1*(D38*'Fayette County Statistics'!$C$10))+((1/2)*('Fayette County Statistics'!$D$12*'Reduced VMT'!D38))+((1/3)*(D38*'Fayette County Statistics'!$D$13))+((1/4)*('Reduced VMT'!D38*'Fayette County Statistics'!$D$14))+(1*('Fayette County Statistics'!$D$16*'Reduced VMT'!D38))+(1*('Reduced VMT'!D38*'Fayette County Statistics'!$D$17))</f>
        <v>1048.8328156365903</v>
      </c>
      <c r="F38" s="60">
        <v>1</v>
      </c>
      <c r="G38" s="50">
        <f>Inputs!$B$37</f>
        <v>2</v>
      </c>
      <c r="H38" s="50">
        <f>Inputs!$B$19</f>
        <v>218</v>
      </c>
      <c r="I38" s="230">
        <f t="shared" si="4"/>
        <v>457291.10761755338</v>
      </c>
      <c r="J38" s="420">
        <f>J37*(1+'Fayette County Statistics'!$L$5)</f>
        <v>22435.79410389136</v>
      </c>
      <c r="K38" s="236">
        <f>J38*'Regional Trail Users'!$M$10</f>
        <v>516.02326438950126</v>
      </c>
      <c r="L38" s="236">
        <f>(1*(K38*'Fayette County Statistics'!$C$10))+((1/2)*('Fayette County Statistics'!$D$12*'Reduced VMT'!K38))+((1/3)*(K38*'Fayette County Statistics'!$D$13))+((1/4)*('Reduced VMT'!K38*'Fayette County Statistics'!$D$14))+(1*('Fayette County Statistics'!$D$16*'Reduced VMT'!K38))+(1*('Reduced VMT'!K38*'Fayette County Statistics'!$D$17))</f>
        <v>487.57016148151479</v>
      </c>
      <c r="M38" s="407">
        <v>5</v>
      </c>
      <c r="N38" s="236">
        <f t="shared" si="9"/>
        <v>2</v>
      </c>
      <c r="O38" s="236">
        <f t="shared" si="10"/>
        <v>218</v>
      </c>
      <c r="P38" s="230">
        <f t="shared" si="5"/>
        <v>1062902.9520297023</v>
      </c>
      <c r="Q38" s="414">
        <f t="shared" si="3"/>
        <v>1520194.0596472556</v>
      </c>
    </row>
    <row r="39" spans="1:17" s="4" customFormat="1" ht="15.75" thickBot="1" x14ac:dyDescent="0.3">
      <c r="A39" s="142">
        <f t="shared" ref="A39" si="12">A38+1</f>
        <v>2049</v>
      </c>
      <c r="B39" s="243">
        <f>'Bicycle Users'!BF38</f>
        <v>602.98390218353893</v>
      </c>
      <c r="C39" s="38">
        <f>'Pedestrian Users'!BM38</f>
        <v>519.48843615144483</v>
      </c>
      <c r="D39" s="38">
        <f t="shared" si="11"/>
        <v>1122.4723383349838</v>
      </c>
      <c r="E39" s="38">
        <f>(1*(D39*'Fayette County Statistics'!$C$10))+((1/2)*('Fayette County Statistics'!$D$12*'Reduced VMT'!D39))+((1/3)*(D39*'Fayette County Statistics'!$D$13))+((1/4)*('Reduced VMT'!D39*'Fayette County Statistics'!$D$14))+(1*('Fayette County Statistics'!$D$16*'Reduced VMT'!D39))+(1*('Reduced VMT'!D39*'Fayette County Statistics'!$D$17))</f>
        <v>1060.580126959982</v>
      </c>
      <c r="F39" s="60">
        <v>1</v>
      </c>
      <c r="G39" s="50">
        <f>Inputs!$B$37</f>
        <v>2</v>
      </c>
      <c r="H39" s="50">
        <f>Inputs!$B$19</f>
        <v>218</v>
      </c>
      <c r="I39" s="230">
        <f t="shared" si="4"/>
        <v>462412.93535455212</v>
      </c>
      <c r="J39" s="420">
        <f>J38*(1+'Fayette County Statistics'!$L$5)</f>
        <v>22687.083207546992</v>
      </c>
      <c r="K39" s="236">
        <f>J39*'Regional Trail Users'!$M$10</f>
        <v>521.80291377358083</v>
      </c>
      <c r="L39" s="236">
        <f>(1*(K39*'Fayette County Statistics'!$C$10))+((1/2)*('Fayette County Statistics'!$D$12*'Reduced VMT'!K39))+((1/3)*(K39*'Fayette County Statistics'!$D$13))+((1/4)*('Reduced VMT'!K39*'Fayette County Statistics'!$D$14))+(1*('Fayette County Statistics'!$D$16*'Reduced VMT'!K39))+(1*('Reduced VMT'!K39*'Fayette County Statistics'!$D$17))</f>
        <v>493.03112570148306</v>
      </c>
      <c r="M39" s="407">
        <v>5</v>
      </c>
      <c r="N39" s="236">
        <f t="shared" si="9"/>
        <v>2</v>
      </c>
      <c r="O39" s="236">
        <f t="shared" si="10"/>
        <v>218</v>
      </c>
      <c r="P39" s="230">
        <f t="shared" si="5"/>
        <v>1074807.8540292331</v>
      </c>
      <c r="Q39" s="414">
        <f t="shared" si="3"/>
        <v>1537220.7893837853</v>
      </c>
    </row>
    <row r="40" spans="1:17" ht="15.75" thickBot="1" x14ac:dyDescent="0.3">
      <c r="A40" s="36" t="s">
        <v>165</v>
      </c>
      <c r="B40" s="171">
        <f>SUM(B8:B39)</f>
        <v>15463.350261869109</v>
      </c>
      <c r="C40" s="116">
        <f t="shared" ref="C40:E40" si="13">SUM(C8:C39)</f>
        <v>13322.132839883488</v>
      </c>
      <c r="D40" s="116">
        <f t="shared" si="13"/>
        <v>28785.483101752605</v>
      </c>
      <c r="E40" s="116">
        <f t="shared" si="13"/>
        <v>27198.274986399003</v>
      </c>
      <c r="F40" s="188"/>
      <c r="G40" s="116"/>
      <c r="H40" s="116"/>
      <c r="I40" s="117">
        <f>SUM(I8:I39)</f>
        <v>11858447.894069964</v>
      </c>
      <c r="J40" s="117">
        <f t="shared" ref="J40:L40" si="14">SUM(J8:J39)</f>
        <v>614109.56163345464</v>
      </c>
      <c r="K40" s="117">
        <f t="shared" si="14"/>
        <v>13381.486958649746</v>
      </c>
      <c r="L40" s="117">
        <f t="shared" si="14"/>
        <v>12643.642656325914</v>
      </c>
      <c r="M40" s="117"/>
      <c r="N40" s="117"/>
      <c r="O40" s="117"/>
      <c r="P40" s="415">
        <f>SUM(P8:P39)</f>
        <v>27563140.990790494</v>
      </c>
      <c r="Q40" s="415">
        <f>SUM(Q8:Q39)</f>
        <v>39421588.884860449</v>
      </c>
    </row>
    <row r="43" spans="1:17" ht="15.75" thickBot="1" x14ac:dyDescent="0.3"/>
    <row r="44" spans="1:17" ht="90" x14ac:dyDescent="0.25">
      <c r="A44" s="602" t="s">
        <v>132</v>
      </c>
      <c r="B44" s="422" t="s">
        <v>141</v>
      </c>
      <c r="C44" s="404" t="s">
        <v>404</v>
      </c>
      <c r="D44" s="404" t="s">
        <v>199</v>
      </c>
      <c r="E44" s="404" t="s">
        <v>388</v>
      </c>
      <c r="F44" s="404" t="s">
        <v>800</v>
      </c>
      <c r="G44" s="115" t="s">
        <v>249</v>
      </c>
      <c r="H44" s="115" t="s">
        <v>503</v>
      </c>
      <c r="I44" s="417" t="s">
        <v>710</v>
      </c>
      <c r="J44" s="416" t="s">
        <v>712</v>
      </c>
      <c r="K44" s="152" t="s">
        <v>711</v>
      </c>
      <c r="L44" s="152" t="s">
        <v>713</v>
      </c>
      <c r="M44" s="152" t="s">
        <v>800</v>
      </c>
      <c r="N44" s="152" t="s">
        <v>714</v>
      </c>
      <c r="O44" s="152" t="s">
        <v>715</v>
      </c>
      <c r="P44" s="417" t="s">
        <v>716</v>
      </c>
      <c r="Q44" s="412" t="s">
        <v>709</v>
      </c>
    </row>
    <row r="45" spans="1:17" hidden="1" x14ac:dyDescent="0.25">
      <c r="A45" s="421">
        <v>2014</v>
      </c>
      <c r="B45" s="423">
        <f>'Bicycle Users'!BF44</f>
        <v>0</v>
      </c>
      <c r="C45" s="408">
        <f>'Pedestrian Users'!BM44</f>
        <v>0</v>
      </c>
      <c r="D45" s="408">
        <f>ROUND(D4,-1)</f>
        <v>0</v>
      </c>
      <c r="E45" s="408">
        <f>ROUND(E4,-1)</f>
        <v>0</v>
      </c>
      <c r="F45" s="408">
        <f>F4</f>
        <v>18.373999999999999</v>
      </c>
      <c r="G45" s="408">
        <f t="shared" ref="G45:N45" si="15">ROUND(G4,-2)</f>
        <v>0</v>
      </c>
      <c r="H45" s="408">
        <f>H4</f>
        <v>218</v>
      </c>
      <c r="I45" s="408" t="e">
        <f>ROUND(I4,-3)</f>
        <v>#REF!</v>
      </c>
      <c r="J45" s="408">
        <f t="shared" si="15"/>
        <v>15400</v>
      </c>
      <c r="K45" s="408">
        <f>ROUND(K4,-1)</f>
        <v>0</v>
      </c>
      <c r="L45" s="408">
        <f>ROUND(L4,-1)</f>
        <v>0</v>
      </c>
      <c r="M45" s="408">
        <f>M4</f>
        <v>20.208683199895855</v>
      </c>
      <c r="N45" s="408">
        <f t="shared" si="15"/>
        <v>0</v>
      </c>
      <c r="O45" s="408">
        <f>O4</f>
        <v>218</v>
      </c>
      <c r="P45" s="408" t="e">
        <f>ROUND(P4,-3)</f>
        <v>#REF!</v>
      </c>
      <c r="Q45" s="408">
        <f>ROUND(Q4,-3)</f>
        <v>0</v>
      </c>
    </row>
    <row r="46" spans="1:17" hidden="1" x14ac:dyDescent="0.25">
      <c r="A46" s="421">
        <v>2015</v>
      </c>
      <c r="B46" s="423">
        <f>'Bicycle Users'!BF45</f>
        <v>0</v>
      </c>
      <c r="C46" s="408">
        <f>'Pedestrian Users'!BM45</f>
        <v>0</v>
      </c>
      <c r="D46" s="408">
        <f t="shared" ref="D46:E46" si="16">ROUND(D5,-1)</f>
        <v>0</v>
      </c>
      <c r="E46" s="408">
        <f t="shared" si="16"/>
        <v>0</v>
      </c>
      <c r="F46" s="408">
        <f t="shared" ref="F46:F81" si="17">F5</f>
        <v>18.373999999999999</v>
      </c>
      <c r="G46" s="409">
        <f t="shared" ref="G46" si="18">ROUND(G5,-2)</f>
        <v>0</v>
      </c>
      <c r="H46" s="409">
        <f t="shared" ref="H46:H81" si="19">H5</f>
        <v>218</v>
      </c>
      <c r="I46" s="419" t="e">
        <f t="shared" ref="I46:I81" si="20">ROUND(I5,-3)</f>
        <v>#REF!</v>
      </c>
      <c r="J46" s="418">
        <f t="shared" ref="J46" si="21">ROUND(J5,-2)</f>
        <v>15500</v>
      </c>
      <c r="K46" s="410">
        <f t="shared" ref="K46:L46" si="22">ROUND(K5,-1)</f>
        <v>0</v>
      </c>
      <c r="L46" s="410">
        <f t="shared" si="22"/>
        <v>0</v>
      </c>
      <c r="M46" s="411">
        <f t="shared" ref="M46:M81" si="23">M5</f>
        <v>20.208683199895855</v>
      </c>
      <c r="N46" s="410">
        <f t="shared" ref="N46" si="24">ROUND(N5,-2)</f>
        <v>0</v>
      </c>
      <c r="O46" s="410">
        <f t="shared" ref="O46:O81" si="25">O5</f>
        <v>218</v>
      </c>
      <c r="P46" s="419" t="e">
        <f t="shared" ref="P46:Q46" si="26">ROUND(P5,-3)</f>
        <v>#REF!</v>
      </c>
      <c r="Q46" s="413">
        <f t="shared" si="26"/>
        <v>0</v>
      </c>
    </row>
    <row r="47" spans="1:17" hidden="1" x14ac:dyDescent="0.25">
      <c r="A47" s="421">
        <v>2016</v>
      </c>
      <c r="B47" s="423">
        <f>'Bicycle Users'!BF46</f>
        <v>0</v>
      </c>
      <c r="C47" s="408">
        <f>'Pedestrian Users'!BM46</f>
        <v>0</v>
      </c>
      <c r="D47" s="408">
        <f t="shared" ref="D47:E47" si="27">ROUND(D6,-1)</f>
        <v>0</v>
      </c>
      <c r="E47" s="408">
        <f t="shared" si="27"/>
        <v>0</v>
      </c>
      <c r="F47" s="408">
        <f t="shared" si="17"/>
        <v>18.373999999999999</v>
      </c>
      <c r="G47" s="409">
        <f t="shared" ref="G47" si="28">ROUND(G6,-2)</f>
        <v>0</v>
      </c>
      <c r="H47" s="409">
        <f t="shared" si="19"/>
        <v>218</v>
      </c>
      <c r="I47" s="419" t="e">
        <f t="shared" si="20"/>
        <v>#REF!</v>
      </c>
      <c r="J47" s="418">
        <f t="shared" ref="J47" si="29">ROUND(J6,-2)</f>
        <v>15700</v>
      </c>
      <c r="K47" s="410">
        <f t="shared" ref="K47:L47" si="30">ROUND(K6,-1)</f>
        <v>0</v>
      </c>
      <c r="L47" s="410">
        <f t="shared" si="30"/>
        <v>0</v>
      </c>
      <c r="M47" s="411">
        <f t="shared" si="23"/>
        <v>20.208683199895855</v>
      </c>
      <c r="N47" s="410">
        <f t="shared" ref="N47" si="31">ROUND(N6,-2)</f>
        <v>0</v>
      </c>
      <c r="O47" s="410">
        <f t="shared" si="25"/>
        <v>218</v>
      </c>
      <c r="P47" s="419" t="e">
        <f t="shared" ref="P47:Q47" si="32">ROUND(P6,-3)</f>
        <v>#REF!</v>
      </c>
      <c r="Q47" s="413">
        <f t="shared" si="32"/>
        <v>0</v>
      </c>
    </row>
    <row r="48" spans="1:17" hidden="1" x14ac:dyDescent="0.25">
      <c r="A48" s="421">
        <v>2017</v>
      </c>
      <c r="B48" s="423">
        <f>'Bicycle Users'!BF47</f>
        <v>0</v>
      </c>
      <c r="C48" s="408">
        <f>'Pedestrian Users'!BM47</f>
        <v>0</v>
      </c>
      <c r="D48" s="408">
        <f t="shared" ref="D48:E48" si="33">ROUND(D7,-1)</f>
        <v>0</v>
      </c>
      <c r="E48" s="408">
        <f t="shared" si="33"/>
        <v>0</v>
      </c>
      <c r="F48" s="408">
        <f t="shared" si="17"/>
        <v>18.373999999999999</v>
      </c>
      <c r="G48" s="409">
        <f t="shared" ref="G48" si="34">ROUND(G7,-2)</f>
        <v>0</v>
      </c>
      <c r="H48" s="409">
        <f t="shared" si="19"/>
        <v>218</v>
      </c>
      <c r="I48" s="419" t="e">
        <f t="shared" si="20"/>
        <v>#REF!</v>
      </c>
      <c r="J48" s="418">
        <f t="shared" ref="J48" si="35">ROUND(J7,-2)</f>
        <v>15900</v>
      </c>
      <c r="K48" s="410">
        <f t="shared" ref="K48:L48" si="36">ROUND(K7,-1)</f>
        <v>0</v>
      </c>
      <c r="L48" s="410">
        <f t="shared" si="36"/>
        <v>0</v>
      </c>
      <c r="M48" s="411">
        <f t="shared" si="23"/>
        <v>20.208683199895855</v>
      </c>
      <c r="N48" s="410">
        <f t="shared" ref="N48" si="37">ROUND(N7,-2)</f>
        <v>0</v>
      </c>
      <c r="O48" s="410">
        <f t="shared" si="25"/>
        <v>218</v>
      </c>
      <c r="P48" s="419" t="e">
        <f t="shared" ref="P48:Q48" si="38">ROUND(P7,-3)</f>
        <v>#REF!</v>
      </c>
      <c r="Q48" s="413">
        <f t="shared" si="38"/>
        <v>0</v>
      </c>
    </row>
    <row r="49" spans="1:17" x14ac:dyDescent="0.25">
      <c r="A49" s="142">
        <v>2018</v>
      </c>
      <c r="B49" s="243">
        <f>'Bicycle Users'!BF48</f>
        <v>0</v>
      </c>
      <c r="C49" s="38">
        <f>'Pedestrian Users'!BM48</f>
        <v>0</v>
      </c>
      <c r="D49" s="38">
        <f t="shared" ref="D49:E49" si="39">ROUND(D8,-1)</f>
        <v>0</v>
      </c>
      <c r="E49" s="38">
        <f t="shared" si="39"/>
        <v>0</v>
      </c>
      <c r="F49" s="60">
        <f t="shared" si="17"/>
        <v>1</v>
      </c>
      <c r="G49" s="50">
        <f t="shared" ref="G49" si="40">ROUND(G8,-2)</f>
        <v>0</v>
      </c>
      <c r="H49" s="50">
        <f t="shared" si="19"/>
        <v>218</v>
      </c>
      <c r="I49" s="230">
        <f t="shared" si="20"/>
        <v>0</v>
      </c>
      <c r="J49" s="420">
        <f t="shared" ref="J49" si="41">ROUND(J8,-2)</f>
        <v>16100</v>
      </c>
      <c r="K49" s="236">
        <f t="shared" ref="K49:L49" si="42">ROUND(K8,-1)</f>
        <v>0</v>
      </c>
      <c r="L49" s="236">
        <f t="shared" si="42"/>
        <v>0</v>
      </c>
      <c r="M49" s="407">
        <f t="shared" si="23"/>
        <v>5</v>
      </c>
      <c r="N49" s="236">
        <f t="shared" ref="N49" si="43">ROUND(N8,-2)</f>
        <v>0</v>
      </c>
      <c r="O49" s="236">
        <f t="shared" si="25"/>
        <v>218</v>
      </c>
      <c r="P49" s="230">
        <f t="shared" ref="P49:Q49" si="44">ROUND(P8,-3)</f>
        <v>0</v>
      </c>
      <c r="Q49" s="414">
        <f t="shared" si="44"/>
        <v>0</v>
      </c>
    </row>
    <row r="50" spans="1:17" x14ac:dyDescent="0.25">
      <c r="A50" s="142">
        <v>2019</v>
      </c>
      <c r="B50" s="243">
        <f>'Bicycle Users'!BF49</f>
        <v>0</v>
      </c>
      <c r="C50" s="38">
        <f>'Pedestrian Users'!BM49</f>
        <v>0</v>
      </c>
      <c r="D50" s="38">
        <f t="shared" ref="D50:E50" si="45">ROUND(D9,-1)</f>
        <v>0</v>
      </c>
      <c r="E50" s="38">
        <f t="shared" si="45"/>
        <v>0</v>
      </c>
      <c r="F50" s="60">
        <f t="shared" si="17"/>
        <v>1</v>
      </c>
      <c r="G50" s="50">
        <f t="shared" ref="G50" si="46">ROUND(G9,-2)</f>
        <v>0</v>
      </c>
      <c r="H50" s="50">
        <f t="shared" si="19"/>
        <v>218</v>
      </c>
      <c r="I50" s="230">
        <f t="shared" si="20"/>
        <v>0</v>
      </c>
      <c r="J50" s="420">
        <f t="shared" ref="J50" si="47">ROUND(J9,-2)</f>
        <v>16200</v>
      </c>
      <c r="K50" s="236">
        <f t="shared" ref="K50:L50" si="48">ROUND(K9,-1)</f>
        <v>0</v>
      </c>
      <c r="L50" s="236">
        <f t="shared" si="48"/>
        <v>0</v>
      </c>
      <c r="M50" s="407">
        <f t="shared" si="23"/>
        <v>5</v>
      </c>
      <c r="N50" s="236">
        <f t="shared" ref="N50" si="49">ROUND(N9,-2)</f>
        <v>0</v>
      </c>
      <c r="O50" s="236">
        <f t="shared" si="25"/>
        <v>218</v>
      </c>
      <c r="P50" s="230">
        <f t="shared" ref="P50:Q50" si="50">ROUND(P9,-3)</f>
        <v>0</v>
      </c>
      <c r="Q50" s="414">
        <f t="shared" si="50"/>
        <v>0</v>
      </c>
    </row>
    <row r="51" spans="1:17" x14ac:dyDescent="0.25">
      <c r="A51" s="142">
        <v>2020</v>
      </c>
      <c r="B51" s="243">
        <f>'Bicycle Users'!BF50</f>
        <v>0</v>
      </c>
      <c r="C51" s="38">
        <f>'Pedestrian Users'!BM50</f>
        <v>0</v>
      </c>
      <c r="D51" s="38">
        <f t="shared" ref="D51:E51" si="51">ROUND(D10,-1)</f>
        <v>810</v>
      </c>
      <c r="E51" s="38">
        <f t="shared" si="51"/>
        <v>770</v>
      </c>
      <c r="F51" s="60">
        <f t="shared" si="17"/>
        <v>1</v>
      </c>
      <c r="G51" s="50">
        <f t="shared" ref="G51" si="52">ROUND(G10,-2)</f>
        <v>0</v>
      </c>
      <c r="H51" s="50">
        <f t="shared" si="19"/>
        <v>218</v>
      </c>
      <c r="I51" s="230">
        <f t="shared" si="20"/>
        <v>335000</v>
      </c>
      <c r="J51" s="420">
        <f t="shared" ref="J51" si="53">ROUND(J10,-2)</f>
        <v>16400</v>
      </c>
      <c r="K51" s="236">
        <f t="shared" ref="K51:L51" si="54">ROUND(K10,-1)</f>
        <v>380</v>
      </c>
      <c r="L51" s="236">
        <f t="shared" si="54"/>
        <v>360</v>
      </c>
      <c r="M51" s="407">
        <f t="shared" si="23"/>
        <v>5</v>
      </c>
      <c r="N51" s="236">
        <f t="shared" ref="N51" si="55">ROUND(N10,-2)</f>
        <v>0</v>
      </c>
      <c r="O51" s="236">
        <f t="shared" si="25"/>
        <v>218</v>
      </c>
      <c r="P51" s="230">
        <f t="shared" ref="P51:Q51" si="56">ROUND(P10,-3)</f>
        <v>778000</v>
      </c>
      <c r="Q51" s="414">
        <f t="shared" si="56"/>
        <v>1113000</v>
      </c>
    </row>
    <row r="52" spans="1:17" x14ac:dyDescent="0.25">
      <c r="A52" s="142">
        <v>2021</v>
      </c>
      <c r="B52" s="243">
        <f>'Bicycle Users'!BF51</f>
        <v>0</v>
      </c>
      <c r="C52" s="38">
        <f>'Pedestrian Users'!BM51</f>
        <v>0</v>
      </c>
      <c r="D52" s="38">
        <f t="shared" ref="D52:E52" si="57">ROUND(D11,-1)</f>
        <v>820</v>
      </c>
      <c r="E52" s="38">
        <f t="shared" si="57"/>
        <v>780</v>
      </c>
      <c r="F52" s="60">
        <f t="shared" si="17"/>
        <v>1</v>
      </c>
      <c r="G52" s="50">
        <f t="shared" ref="G52" si="58">ROUND(G11,-2)</f>
        <v>0</v>
      </c>
      <c r="H52" s="50">
        <f t="shared" si="19"/>
        <v>218</v>
      </c>
      <c r="I52" s="230">
        <f t="shared" si="20"/>
        <v>339000</v>
      </c>
      <c r="J52" s="420">
        <f t="shared" ref="J52" si="59">ROUND(J11,-2)</f>
        <v>16600</v>
      </c>
      <c r="K52" s="236">
        <f t="shared" ref="K52:L52" si="60">ROUND(K11,-1)</f>
        <v>380</v>
      </c>
      <c r="L52" s="236">
        <f t="shared" si="60"/>
        <v>360</v>
      </c>
      <c r="M52" s="407">
        <f t="shared" si="23"/>
        <v>5</v>
      </c>
      <c r="N52" s="236">
        <f t="shared" ref="N52" si="61">ROUND(N11,-2)</f>
        <v>0</v>
      </c>
      <c r="O52" s="236">
        <f t="shared" si="25"/>
        <v>218</v>
      </c>
      <c r="P52" s="230">
        <f t="shared" ref="P52:Q52" si="62">ROUND(P11,-3)</f>
        <v>787000</v>
      </c>
      <c r="Q52" s="414">
        <f t="shared" si="62"/>
        <v>1125000</v>
      </c>
    </row>
    <row r="53" spans="1:17" x14ac:dyDescent="0.25">
      <c r="A53" s="142">
        <v>2022</v>
      </c>
      <c r="B53" s="243">
        <f>'Bicycle Users'!BF52</f>
        <v>0</v>
      </c>
      <c r="C53" s="38">
        <f>'Pedestrian Users'!BM52</f>
        <v>0</v>
      </c>
      <c r="D53" s="38">
        <f t="shared" ref="D53:E53" si="63">ROUND(D12,-1)</f>
        <v>830</v>
      </c>
      <c r="E53" s="38">
        <f t="shared" si="63"/>
        <v>790</v>
      </c>
      <c r="F53" s="60">
        <f t="shared" si="17"/>
        <v>1</v>
      </c>
      <c r="G53" s="50">
        <f t="shared" ref="G53" si="64">ROUND(G12,-2)</f>
        <v>0</v>
      </c>
      <c r="H53" s="50">
        <f t="shared" si="19"/>
        <v>218</v>
      </c>
      <c r="I53" s="230">
        <f t="shared" si="20"/>
        <v>342000</v>
      </c>
      <c r="J53" s="420">
        <f t="shared" ref="J53" si="65">ROUND(J12,-2)</f>
        <v>16800</v>
      </c>
      <c r="K53" s="236">
        <f t="shared" ref="K53:L53" si="66">ROUND(K12,-1)</f>
        <v>390</v>
      </c>
      <c r="L53" s="236">
        <f t="shared" si="66"/>
        <v>360</v>
      </c>
      <c r="M53" s="407">
        <f t="shared" si="23"/>
        <v>5</v>
      </c>
      <c r="N53" s="236">
        <f t="shared" ref="N53" si="67">ROUND(N12,-2)</f>
        <v>0</v>
      </c>
      <c r="O53" s="236">
        <f t="shared" si="25"/>
        <v>218</v>
      </c>
      <c r="P53" s="230">
        <f t="shared" ref="P53:Q53" si="68">ROUND(P12,-3)</f>
        <v>796000</v>
      </c>
      <c r="Q53" s="414">
        <f t="shared" si="68"/>
        <v>1138000</v>
      </c>
    </row>
    <row r="54" spans="1:17" x14ac:dyDescent="0.25">
      <c r="A54" s="142">
        <v>2023</v>
      </c>
      <c r="B54" s="243">
        <f>'Bicycle Users'!BF53</f>
        <v>0</v>
      </c>
      <c r="C54" s="38">
        <f>'Pedestrian Users'!BM53</f>
        <v>0</v>
      </c>
      <c r="D54" s="38">
        <f t="shared" ref="D54:E54" si="69">ROUND(D13,-1)</f>
        <v>840</v>
      </c>
      <c r="E54" s="38">
        <f t="shared" si="69"/>
        <v>790</v>
      </c>
      <c r="F54" s="60">
        <f t="shared" si="17"/>
        <v>1</v>
      </c>
      <c r="G54" s="50">
        <f t="shared" ref="G54" si="70">ROUND(G13,-2)</f>
        <v>0</v>
      </c>
      <c r="H54" s="50">
        <f t="shared" si="19"/>
        <v>218</v>
      </c>
      <c r="I54" s="230">
        <f t="shared" si="20"/>
        <v>346000</v>
      </c>
      <c r="J54" s="420">
        <f t="shared" ref="J54" si="71">ROUND(J13,-2)</f>
        <v>17000</v>
      </c>
      <c r="K54" s="236">
        <f t="shared" ref="K54:L54" si="72">ROUND(K13,-1)</f>
        <v>390</v>
      </c>
      <c r="L54" s="236">
        <f t="shared" si="72"/>
        <v>370</v>
      </c>
      <c r="M54" s="407">
        <f t="shared" si="23"/>
        <v>5</v>
      </c>
      <c r="N54" s="236">
        <f t="shared" ref="N54" si="73">ROUND(N13,-2)</f>
        <v>0</v>
      </c>
      <c r="O54" s="236">
        <f t="shared" si="25"/>
        <v>218</v>
      </c>
      <c r="P54" s="230">
        <f t="shared" ref="P54:Q54" si="74">ROUND(P13,-3)</f>
        <v>805000</v>
      </c>
      <c r="Q54" s="414">
        <f t="shared" si="74"/>
        <v>1151000</v>
      </c>
    </row>
    <row r="55" spans="1:17" x14ac:dyDescent="0.25">
      <c r="A55" s="142">
        <v>2024</v>
      </c>
      <c r="B55" s="243">
        <f>'Bicycle Users'!BF54</f>
        <v>0</v>
      </c>
      <c r="C55" s="38">
        <f>'Pedestrian Users'!BM54</f>
        <v>0</v>
      </c>
      <c r="D55" s="38">
        <f t="shared" ref="D55:E55" si="75">ROUND(D14,-1)</f>
        <v>850</v>
      </c>
      <c r="E55" s="38">
        <f t="shared" si="75"/>
        <v>800</v>
      </c>
      <c r="F55" s="60">
        <f t="shared" si="17"/>
        <v>1</v>
      </c>
      <c r="G55" s="50">
        <f t="shared" ref="G55" si="76">ROUND(G14,-2)</f>
        <v>0</v>
      </c>
      <c r="H55" s="50">
        <f t="shared" si="19"/>
        <v>218</v>
      </c>
      <c r="I55" s="230">
        <f t="shared" si="20"/>
        <v>350000</v>
      </c>
      <c r="J55" s="420">
        <f t="shared" ref="J55" si="77">ROUND(J14,-2)</f>
        <v>17200</v>
      </c>
      <c r="K55" s="236">
        <f t="shared" ref="K55:L55" si="78">ROUND(K14,-1)</f>
        <v>390</v>
      </c>
      <c r="L55" s="236">
        <f t="shared" si="78"/>
        <v>370</v>
      </c>
      <c r="M55" s="407">
        <f t="shared" si="23"/>
        <v>5</v>
      </c>
      <c r="N55" s="236">
        <f t="shared" ref="N55" si="79">ROUND(N14,-2)</f>
        <v>0</v>
      </c>
      <c r="O55" s="236">
        <f t="shared" si="25"/>
        <v>218</v>
      </c>
      <c r="P55" s="230">
        <f t="shared" ref="P55:Q55" si="80">ROUND(P14,-3)</f>
        <v>814000</v>
      </c>
      <c r="Q55" s="414">
        <f t="shared" si="80"/>
        <v>1164000</v>
      </c>
    </row>
    <row r="56" spans="1:17" x14ac:dyDescent="0.25">
      <c r="A56" s="142">
        <v>2025</v>
      </c>
      <c r="B56" s="243">
        <f>'Bicycle Users'!BF55</f>
        <v>0</v>
      </c>
      <c r="C56" s="38">
        <f>'Pedestrian Users'!BM55</f>
        <v>0</v>
      </c>
      <c r="D56" s="38">
        <f t="shared" ref="D56:E56" si="81">ROUND(D15,-1)</f>
        <v>860</v>
      </c>
      <c r="E56" s="38">
        <f t="shared" si="81"/>
        <v>810</v>
      </c>
      <c r="F56" s="60">
        <f t="shared" si="17"/>
        <v>1</v>
      </c>
      <c r="G56" s="50">
        <f t="shared" ref="G56" si="82">ROUND(G15,-2)</f>
        <v>0</v>
      </c>
      <c r="H56" s="50">
        <f t="shared" si="19"/>
        <v>218</v>
      </c>
      <c r="I56" s="230">
        <f t="shared" si="20"/>
        <v>354000</v>
      </c>
      <c r="J56" s="420">
        <f t="shared" ref="J56" si="83">ROUND(J15,-2)</f>
        <v>17400</v>
      </c>
      <c r="K56" s="236">
        <f t="shared" ref="K56:L56" si="84">ROUND(K15,-1)</f>
        <v>400</v>
      </c>
      <c r="L56" s="236">
        <f t="shared" si="84"/>
        <v>380</v>
      </c>
      <c r="M56" s="407">
        <f t="shared" si="23"/>
        <v>5</v>
      </c>
      <c r="N56" s="236">
        <f t="shared" ref="N56" si="85">ROUND(N15,-2)</f>
        <v>0</v>
      </c>
      <c r="O56" s="236">
        <f t="shared" si="25"/>
        <v>218</v>
      </c>
      <c r="P56" s="230">
        <f t="shared" ref="P56:Q56" si="86">ROUND(P15,-3)</f>
        <v>823000</v>
      </c>
      <c r="Q56" s="414">
        <f t="shared" si="86"/>
        <v>1177000</v>
      </c>
    </row>
    <row r="57" spans="1:17" x14ac:dyDescent="0.25">
      <c r="A57" s="142">
        <v>2026</v>
      </c>
      <c r="B57" s="243">
        <f>'Bicycle Users'!BF56</f>
        <v>0</v>
      </c>
      <c r="C57" s="38">
        <f>'Pedestrian Users'!BM56</f>
        <v>0</v>
      </c>
      <c r="D57" s="38">
        <f t="shared" ref="D57:E57" si="87">ROUND(D16,-1)</f>
        <v>870</v>
      </c>
      <c r="E57" s="38">
        <f t="shared" si="87"/>
        <v>820</v>
      </c>
      <c r="F57" s="60">
        <f t="shared" si="17"/>
        <v>1</v>
      </c>
      <c r="G57" s="50">
        <f t="shared" ref="G57" si="88">ROUND(G16,-2)</f>
        <v>0</v>
      </c>
      <c r="H57" s="50">
        <f t="shared" si="19"/>
        <v>218</v>
      </c>
      <c r="I57" s="230">
        <f t="shared" si="20"/>
        <v>358000</v>
      </c>
      <c r="J57" s="420">
        <f t="shared" ref="J57" si="89">ROUND(J16,-2)</f>
        <v>17600</v>
      </c>
      <c r="K57" s="236">
        <f t="shared" ref="K57:L57" si="90">ROUND(K16,-1)</f>
        <v>400</v>
      </c>
      <c r="L57" s="236">
        <f t="shared" si="90"/>
        <v>380</v>
      </c>
      <c r="M57" s="407">
        <f t="shared" si="23"/>
        <v>5</v>
      </c>
      <c r="N57" s="236">
        <f t="shared" ref="N57" si="91">ROUND(N16,-2)</f>
        <v>0</v>
      </c>
      <c r="O57" s="236">
        <f t="shared" si="25"/>
        <v>218</v>
      </c>
      <c r="P57" s="230">
        <f t="shared" ref="P57:Q57" si="92">ROUND(P16,-3)</f>
        <v>832000</v>
      </c>
      <c r="Q57" s="414">
        <f t="shared" si="92"/>
        <v>1190000</v>
      </c>
    </row>
    <row r="58" spans="1:17" x14ac:dyDescent="0.25">
      <c r="A58" s="142">
        <v>2027</v>
      </c>
      <c r="B58" s="243">
        <f>'Bicycle Users'!BF57</f>
        <v>0</v>
      </c>
      <c r="C58" s="38">
        <f>'Pedestrian Users'!BM57</f>
        <v>0</v>
      </c>
      <c r="D58" s="38">
        <f t="shared" ref="D58:E58" si="93">ROUND(D17,-1)</f>
        <v>880</v>
      </c>
      <c r="E58" s="38">
        <f t="shared" si="93"/>
        <v>830</v>
      </c>
      <c r="F58" s="60">
        <f t="shared" si="17"/>
        <v>1</v>
      </c>
      <c r="G58" s="50">
        <f t="shared" ref="G58" si="94">ROUND(G17,-2)</f>
        <v>0</v>
      </c>
      <c r="H58" s="50">
        <f t="shared" si="19"/>
        <v>218</v>
      </c>
      <c r="I58" s="230">
        <f t="shared" si="20"/>
        <v>362000</v>
      </c>
      <c r="J58" s="420">
        <f t="shared" ref="J58" si="95">ROUND(J17,-2)</f>
        <v>17800</v>
      </c>
      <c r="K58" s="236">
        <f t="shared" ref="K58:L58" si="96">ROUND(K17,-1)</f>
        <v>410</v>
      </c>
      <c r="L58" s="236">
        <f t="shared" si="96"/>
        <v>390</v>
      </c>
      <c r="M58" s="407">
        <f t="shared" si="23"/>
        <v>5</v>
      </c>
      <c r="N58" s="236">
        <f t="shared" ref="N58" si="97">ROUND(N17,-2)</f>
        <v>0</v>
      </c>
      <c r="O58" s="236">
        <f t="shared" si="25"/>
        <v>218</v>
      </c>
      <c r="P58" s="230">
        <f t="shared" ref="P58:Q58" si="98">ROUND(P17,-3)</f>
        <v>841000</v>
      </c>
      <c r="Q58" s="414">
        <f t="shared" si="98"/>
        <v>1203000</v>
      </c>
    </row>
    <row r="59" spans="1:17" x14ac:dyDescent="0.25">
      <c r="A59" s="142">
        <v>2028</v>
      </c>
      <c r="B59" s="243">
        <f>'Bicycle Users'!BF58</f>
        <v>0</v>
      </c>
      <c r="C59" s="38">
        <f>'Pedestrian Users'!BM58</f>
        <v>0</v>
      </c>
      <c r="D59" s="38">
        <f t="shared" ref="D59:E59" si="99">ROUND(D18,-1)</f>
        <v>890</v>
      </c>
      <c r="E59" s="38">
        <f t="shared" si="99"/>
        <v>840</v>
      </c>
      <c r="F59" s="60">
        <f t="shared" si="17"/>
        <v>1</v>
      </c>
      <c r="G59" s="50">
        <f t="shared" ref="G59" si="100">ROUND(G18,-2)</f>
        <v>0</v>
      </c>
      <c r="H59" s="50">
        <f t="shared" si="19"/>
        <v>218</v>
      </c>
      <c r="I59" s="230">
        <f t="shared" si="20"/>
        <v>366000</v>
      </c>
      <c r="J59" s="420">
        <f t="shared" ref="J59" si="101">ROUND(J18,-2)</f>
        <v>18000</v>
      </c>
      <c r="K59" s="236">
        <f t="shared" ref="K59:L59" si="102">ROUND(K18,-1)</f>
        <v>410</v>
      </c>
      <c r="L59" s="236">
        <f t="shared" si="102"/>
        <v>390</v>
      </c>
      <c r="M59" s="407">
        <f t="shared" si="23"/>
        <v>5</v>
      </c>
      <c r="N59" s="236">
        <f t="shared" ref="N59" si="103">ROUND(N18,-2)</f>
        <v>0</v>
      </c>
      <c r="O59" s="236">
        <f t="shared" si="25"/>
        <v>218</v>
      </c>
      <c r="P59" s="230">
        <f t="shared" ref="P59:Q59" si="104">ROUND(P18,-3)</f>
        <v>851000</v>
      </c>
      <c r="Q59" s="414">
        <f t="shared" si="104"/>
        <v>1217000</v>
      </c>
    </row>
    <row r="60" spans="1:17" x14ac:dyDescent="0.25">
      <c r="A60" s="142">
        <v>2029</v>
      </c>
      <c r="B60" s="243">
        <f>'Bicycle Users'!BF59</f>
        <v>0</v>
      </c>
      <c r="C60" s="38">
        <f>'Pedestrian Users'!BM59</f>
        <v>0</v>
      </c>
      <c r="D60" s="38">
        <f t="shared" ref="D60:E60" si="105">ROUND(D19,-1)</f>
        <v>900</v>
      </c>
      <c r="E60" s="38">
        <f t="shared" si="105"/>
        <v>850</v>
      </c>
      <c r="F60" s="60">
        <f t="shared" si="17"/>
        <v>1</v>
      </c>
      <c r="G60" s="50">
        <f t="shared" ref="G60" si="106">ROUND(G19,-2)</f>
        <v>0</v>
      </c>
      <c r="H60" s="50">
        <f t="shared" si="19"/>
        <v>218</v>
      </c>
      <c r="I60" s="230">
        <f t="shared" si="20"/>
        <v>370000</v>
      </c>
      <c r="J60" s="420">
        <f t="shared" ref="J60" si="107">ROUND(J19,-2)</f>
        <v>18200</v>
      </c>
      <c r="K60" s="236">
        <f t="shared" ref="K60:L60" si="108">ROUND(K19,-1)</f>
        <v>420</v>
      </c>
      <c r="L60" s="236">
        <f t="shared" si="108"/>
        <v>390</v>
      </c>
      <c r="M60" s="407">
        <f t="shared" si="23"/>
        <v>5</v>
      </c>
      <c r="N60" s="236">
        <f t="shared" ref="N60" si="109">ROUND(N19,-2)</f>
        <v>0</v>
      </c>
      <c r="O60" s="236">
        <f t="shared" si="25"/>
        <v>218</v>
      </c>
      <c r="P60" s="230">
        <f t="shared" ref="P60:Q60" si="110">ROUND(P19,-3)</f>
        <v>860000</v>
      </c>
      <c r="Q60" s="414">
        <f t="shared" si="110"/>
        <v>1230000</v>
      </c>
    </row>
    <row r="61" spans="1:17" x14ac:dyDescent="0.25">
      <c r="A61" s="142">
        <v>2030</v>
      </c>
      <c r="B61" s="243">
        <f>'Bicycle Users'!BF60</f>
        <v>0</v>
      </c>
      <c r="C61" s="38">
        <f>'Pedestrian Users'!BM60</f>
        <v>0</v>
      </c>
      <c r="D61" s="38">
        <f t="shared" ref="D61:E61" si="111">ROUND(D20,-1)</f>
        <v>910</v>
      </c>
      <c r="E61" s="38">
        <f t="shared" si="111"/>
        <v>860</v>
      </c>
      <c r="F61" s="60">
        <f t="shared" si="17"/>
        <v>1</v>
      </c>
      <c r="G61" s="50">
        <f t="shared" ref="G61" si="112">ROUND(G20,-2)</f>
        <v>0</v>
      </c>
      <c r="H61" s="50">
        <f t="shared" si="19"/>
        <v>218</v>
      </c>
      <c r="I61" s="230">
        <f t="shared" si="20"/>
        <v>374000</v>
      </c>
      <c r="J61" s="420">
        <f t="shared" ref="J61" si="113">ROUND(J20,-2)</f>
        <v>18400</v>
      </c>
      <c r="K61" s="236">
        <f t="shared" ref="K61:L61" si="114">ROUND(K20,-1)</f>
        <v>420</v>
      </c>
      <c r="L61" s="236">
        <f t="shared" si="114"/>
        <v>400</v>
      </c>
      <c r="M61" s="407">
        <f t="shared" si="23"/>
        <v>5</v>
      </c>
      <c r="N61" s="236">
        <f t="shared" ref="N61" si="115">ROUND(N20,-2)</f>
        <v>0</v>
      </c>
      <c r="O61" s="236">
        <f t="shared" si="25"/>
        <v>218</v>
      </c>
      <c r="P61" s="230">
        <f t="shared" ref="P61:Q61" si="116">ROUND(P20,-3)</f>
        <v>870000</v>
      </c>
      <c r="Q61" s="414">
        <f t="shared" si="116"/>
        <v>1244000</v>
      </c>
    </row>
    <row r="62" spans="1:17" x14ac:dyDescent="0.25">
      <c r="A62" s="142">
        <v>2031</v>
      </c>
      <c r="B62" s="243">
        <f>'Bicycle Users'!BF61</f>
        <v>0</v>
      </c>
      <c r="C62" s="38">
        <f>'Pedestrian Users'!BM61</f>
        <v>0</v>
      </c>
      <c r="D62" s="38">
        <f t="shared" ref="D62:E62" si="117">ROUND(D21,-1)</f>
        <v>920</v>
      </c>
      <c r="E62" s="38">
        <f t="shared" si="117"/>
        <v>870</v>
      </c>
      <c r="F62" s="60">
        <f t="shared" si="17"/>
        <v>1</v>
      </c>
      <c r="G62" s="50">
        <f t="shared" ref="G62" si="118">ROUND(G21,-2)</f>
        <v>0</v>
      </c>
      <c r="H62" s="50">
        <f t="shared" si="19"/>
        <v>218</v>
      </c>
      <c r="I62" s="230">
        <f t="shared" si="20"/>
        <v>378000</v>
      </c>
      <c r="J62" s="420">
        <f t="shared" ref="J62" si="119">ROUND(J21,-2)</f>
        <v>18600</v>
      </c>
      <c r="K62" s="236">
        <f t="shared" ref="K62:L62" si="120">ROUND(K21,-1)</f>
        <v>430</v>
      </c>
      <c r="L62" s="236">
        <f t="shared" si="120"/>
        <v>400</v>
      </c>
      <c r="M62" s="407">
        <f t="shared" si="23"/>
        <v>5</v>
      </c>
      <c r="N62" s="236">
        <f t="shared" ref="N62" si="121">ROUND(N21,-2)</f>
        <v>0</v>
      </c>
      <c r="O62" s="236">
        <f t="shared" si="25"/>
        <v>218</v>
      </c>
      <c r="P62" s="230">
        <f t="shared" ref="P62:Q62" si="122">ROUND(P21,-3)</f>
        <v>880000</v>
      </c>
      <c r="Q62" s="414">
        <f t="shared" si="122"/>
        <v>1258000</v>
      </c>
    </row>
    <row r="63" spans="1:17" x14ac:dyDescent="0.25">
      <c r="A63" s="142">
        <v>2032</v>
      </c>
      <c r="B63" s="243">
        <f>'Bicycle Users'!BF62</f>
        <v>0</v>
      </c>
      <c r="C63" s="38">
        <f>'Pedestrian Users'!BM62</f>
        <v>0</v>
      </c>
      <c r="D63" s="38">
        <f t="shared" ref="D63:E63" si="123">ROUND(D22,-1)</f>
        <v>930</v>
      </c>
      <c r="E63" s="38">
        <f t="shared" si="123"/>
        <v>880</v>
      </c>
      <c r="F63" s="60">
        <f t="shared" si="17"/>
        <v>1</v>
      </c>
      <c r="G63" s="50">
        <f t="shared" ref="G63" si="124">ROUND(G22,-2)</f>
        <v>0</v>
      </c>
      <c r="H63" s="50">
        <f t="shared" si="19"/>
        <v>218</v>
      </c>
      <c r="I63" s="230">
        <f t="shared" si="20"/>
        <v>383000</v>
      </c>
      <c r="J63" s="420">
        <f t="shared" ref="J63" si="125">ROUND(J22,-2)</f>
        <v>18800</v>
      </c>
      <c r="K63" s="236">
        <f t="shared" ref="K63:L63" si="126">ROUND(K22,-1)</f>
        <v>430</v>
      </c>
      <c r="L63" s="236">
        <f t="shared" si="126"/>
        <v>410</v>
      </c>
      <c r="M63" s="407">
        <f t="shared" si="23"/>
        <v>5</v>
      </c>
      <c r="N63" s="236">
        <f t="shared" ref="N63" si="127">ROUND(N22,-2)</f>
        <v>0</v>
      </c>
      <c r="O63" s="236">
        <f t="shared" si="25"/>
        <v>218</v>
      </c>
      <c r="P63" s="230">
        <f t="shared" ref="P63:Q63" si="128">ROUND(P22,-3)</f>
        <v>889000</v>
      </c>
      <c r="Q63" s="414">
        <f t="shared" si="128"/>
        <v>1272000</v>
      </c>
    </row>
    <row r="64" spans="1:17" x14ac:dyDescent="0.25">
      <c r="A64" s="142">
        <v>2033</v>
      </c>
      <c r="B64" s="243">
        <f>'Bicycle Users'!BF63</f>
        <v>0</v>
      </c>
      <c r="C64" s="38">
        <f>'Pedestrian Users'!BM63</f>
        <v>0</v>
      </c>
      <c r="D64" s="38">
        <f t="shared" ref="D64:E64" si="129">ROUND(D23,-1)</f>
        <v>940</v>
      </c>
      <c r="E64" s="38">
        <f t="shared" si="129"/>
        <v>890</v>
      </c>
      <c r="F64" s="60">
        <f t="shared" si="17"/>
        <v>1</v>
      </c>
      <c r="G64" s="50">
        <f t="shared" ref="G64" si="130">ROUND(G23,-2)</f>
        <v>0</v>
      </c>
      <c r="H64" s="50">
        <f t="shared" si="19"/>
        <v>218</v>
      </c>
      <c r="I64" s="230">
        <f t="shared" si="20"/>
        <v>387000</v>
      </c>
      <c r="J64" s="420">
        <f t="shared" ref="J64" si="131">ROUND(J23,-2)</f>
        <v>19000</v>
      </c>
      <c r="K64" s="236">
        <f t="shared" ref="K64:L64" si="132">ROUND(K23,-1)</f>
        <v>440</v>
      </c>
      <c r="L64" s="236">
        <f t="shared" si="132"/>
        <v>410</v>
      </c>
      <c r="M64" s="407">
        <f t="shared" si="23"/>
        <v>5</v>
      </c>
      <c r="N64" s="236">
        <f t="shared" ref="N64" si="133">ROUND(N23,-2)</f>
        <v>0</v>
      </c>
      <c r="O64" s="236">
        <f t="shared" si="25"/>
        <v>218</v>
      </c>
      <c r="P64" s="230">
        <f t="shared" ref="P64:Q64" si="134">ROUND(P23,-3)</f>
        <v>899000</v>
      </c>
      <c r="Q64" s="414">
        <f t="shared" si="134"/>
        <v>1286000</v>
      </c>
    </row>
    <row r="65" spans="1:17" x14ac:dyDescent="0.25">
      <c r="A65" s="142">
        <v>2034</v>
      </c>
      <c r="B65" s="243">
        <f>'Bicycle Users'!BF64</f>
        <v>0</v>
      </c>
      <c r="C65" s="38">
        <f>'Pedestrian Users'!BM64</f>
        <v>0</v>
      </c>
      <c r="D65" s="38">
        <f t="shared" ref="D65:E65" si="135">ROUND(D24,-1)</f>
        <v>950</v>
      </c>
      <c r="E65" s="38">
        <f t="shared" si="135"/>
        <v>900</v>
      </c>
      <c r="F65" s="60">
        <f t="shared" si="17"/>
        <v>1</v>
      </c>
      <c r="G65" s="50">
        <f t="shared" ref="G65" si="136">ROUND(G24,-2)</f>
        <v>0</v>
      </c>
      <c r="H65" s="50">
        <f t="shared" si="19"/>
        <v>218</v>
      </c>
      <c r="I65" s="230">
        <f t="shared" si="20"/>
        <v>391000</v>
      </c>
      <c r="J65" s="420">
        <f t="shared" ref="J65" si="137">ROUND(J24,-2)</f>
        <v>19200</v>
      </c>
      <c r="K65" s="236">
        <f t="shared" ref="K65:L65" si="138">ROUND(K24,-1)</f>
        <v>440</v>
      </c>
      <c r="L65" s="236">
        <f t="shared" si="138"/>
        <v>420</v>
      </c>
      <c r="M65" s="407">
        <f t="shared" si="23"/>
        <v>5</v>
      </c>
      <c r="N65" s="236">
        <f t="shared" ref="N65" si="139">ROUND(N24,-2)</f>
        <v>0</v>
      </c>
      <c r="O65" s="236">
        <f t="shared" si="25"/>
        <v>218</v>
      </c>
      <c r="P65" s="230">
        <f t="shared" ref="P65:Q65" si="140">ROUND(P24,-3)</f>
        <v>909000</v>
      </c>
      <c r="Q65" s="414">
        <f t="shared" si="140"/>
        <v>1301000</v>
      </c>
    </row>
    <row r="66" spans="1:17" x14ac:dyDescent="0.25">
      <c r="A66" s="142">
        <v>2035</v>
      </c>
      <c r="B66" s="243">
        <f>'Bicycle Users'!BF65</f>
        <v>0</v>
      </c>
      <c r="C66" s="38">
        <f>'Pedestrian Users'!BM65</f>
        <v>0</v>
      </c>
      <c r="D66" s="38">
        <f t="shared" ref="D66:E66" si="141">ROUND(D25,-1)</f>
        <v>960</v>
      </c>
      <c r="E66" s="38">
        <f t="shared" si="141"/>
        <v>910</v>
      </c>
      <c r="F66" s="60">
        <f t="shared" si="17"/>
        <v>1</v>
      </c>
      <c r="G66" s="50">
        <f t="shared" ref="G66" si="142">ROUND(G25,-2)</f>
        <v>0</v>
      </c>
      <c r="H66" s="50">
        <f t="shared" si="19"/>
        <v>218</v>
      </c>
      <c r="I66" s="230">
        <f t="shared" si="20"/>
        <v>396000</v>
      </c>
      <c r="J66" s="420">
        <f t="shared" ref="J66" si="143">ROUND(J25,-2)</f>
        <v>19400</v>
      </c>
      <c r="K66" s="236">
        <f t="shared" ref="K66:L66" si="144">ROUND(K25,-1)</f>
        <v>450</v>
      </c>
      <c r="L66" s="236">
        <f t="shared" si="144"/>
        <v>420</v>
      </c>
      <c r="M66" s="407">
        <f t="shared" si="23"/>
        <v>5</v>
      </c>
      <c r="N66" s="236">
        <f t="shared" ref="N66" si="145">ROUND(N25,-2)</f>
        <v>0</v>
      </c>
      <c r="O66" s="236">
        <f t="shared" si="25"/>
        <v>218</v>
      </c>
      <c r="P66" s="230">
        <f t="shared" ref="P66:Q66" si="146">ROUND(P25,-3)</f>
        <v>920000</v>
      </c>
      <c r="Q66" s="414">
        <f t="shared" si="146"/>
        <v>1315000</v>
      </c>
    </row>
    <row r="67" spans="1:17" x14ac:dyDescent="0.25">
      <c r="A67" s="142">
        <v>2036</v>
      </c>
      <c r="B67" s="243">
        <f>'Bicycle Users'!BF66</f>
        <v>0</v>
      </c>
      <c r="C67" s="38">
        <f>'Pedestrian Users'!BM66</f>
        <v>0</v>
      </c>
      <c r="D67" s="38">
        <f t="shared" ref="D67:E67" si="147">ROUND(D26,-1)</f>
        <v>970</v>
      </c>
      <c r="E67" s="38">
        <f t="shared" si="147"/>
        <v>920</v>
      </c>
      <c r="F67" s="60">
        <f t="shared" si="17"/>
        <v>1</v>
      </c>
      <c r="G67" s="50">
        <f t="shared" ref="G67" si="148">ROUND(G26,-2)</f>
        <v>0</v>
      </c>
      <c r="H67" s="50">
        <f t="shared" si="19"/>
        <v>218</v>
      </c>
      <c r="I67" s="230">
        <f t="shared" si="20"/>
        <v>400000</v>
      </c>
      <c r="J67" s="420">
        <f t="shared" ref="J67" si="149">ROUND(J26,-2)</f>
        <v>19600</v>
      </c>
      <c r="K67" s="236">
        <f t="shared" ref="K67:L67" si="150">ROUND(K26,-1)</f>
        <v>450</v>
      </c>
      <c r="L67" s="236">
        <f t="shared" si="150"/>
        <v>430</v>
      </c>
      <c r="M67" s="407">
        <f t="shared" si="23"/>
        <v>5</v>
      </c>
      <c r="N67" s="236">
        <f t="shared" ref="N67" si="151">ROUND(N26,-2)</f>
        <v>0</v>
      </c>
      <c r="O67" s="236">
        <f t="shared" si="25"/>
        <v>218</v>
      </c>
      <c r="P67" s="230">
        <f t="shared" ref="P67:Q67" si="152">ROUND(P26,-3)</f>
        <v>930000</v>
      </c>
      <c r="Q67" s="414">
        <f t="shared" si="152"/>
        <v>1330000</v>
      </c>
    </row>
    <row r="68" spans="1:17" x14ac:dyDescent="0.25">
      <c r="A68" s="142">
        <v>2037</v>
      </c>
      <c r="B68" s="243">
        <f>'Bicycle Users'!BF67</f>
        <v>0</v>
      </c>
      <c r="C68" s="38">
        <f>'Pedestrian Users'!BM67</f>
        <v>0</v>
      </c>
      <c r="D68" s="38">
        <f t="shared" ref="D68:E68" si="153">ROUND(D27,-1)</f>
        <v>980</v>
      </c>
      <c r="E68" s="38">
        <f t="shared" si="153"/>
        <v>930</v>
      </c>
      <c r="F68" s="60">
        <f t="shared" si="17"/>
        <v>1</v>
      </c>
      <c r="G68" s="50">
        <f t="shared" ref="G68" si="154">ROUND(G27,-2)</f>
        <v>0</v>
      </c>
      <c r="H68" s="50">
        <f t="shared" si="19"/>
        <v>218</v>
      </c>
      <c r="I68" s="230">
        <f t="shared" si="20"/>
        <v>405000</v>
      </c>
      <c r="J68" s="420">
        <f t="shared" ref="J68" si="155">ROUND(J27,-2)</f>
        <v>19800</v>
      </c>
      <c r="K68" s="236">
        <f t="shared" ref="K68:L68" si="156">ROUND(K27,-1)</f>
        <v>460</v>
      </c>
      <c r="L68" s="236">
        <f t="shared" si="156"/>
        <v>430</v>
      </c>
      <c r="M68" s="407">
        <f t="shared" si="23"/>
        <v>5</v>
      </c>
      <c r="N68" s="236">
        <f t="shared" ref="N68" si="157">ROUND(N27,-2)</f>
        <v>0</v>
      </c>
      <c r="O68" s="236">
        <f t="shared" si="25"/>
        <v>218</v>
      </c>
      <c r="P68" s="230">
        <f t="shared" ref="P68:Q68" si="158">ROUND(P27,-3)</f>
        <v>940000</v>
      </c>
      <c r="Q68" s="414">
        <f t="shared" si="158"/>
        <v>1345000</v>
      </c>
    </row>
    <row r="69" spans="1:17" x14ac:dyDescent="0.25">
      <c r="A69" s="142">
        <v>2038</v>
      </c>
      <c r="B69" s="243">
        <f>'Bicycle Users'!BF68</f>
        <v>0</v>
      </c>
      <c r="C69" s="38">
        <f>'Pedestrian Users'!BM68</f>
        <v>0</v>
      </c>
      <c r="D69" s="38">
        <f t="shared" ref="D69:E69" si="159">ROUND(D28,-1)</f>
        <v>990</v>
      </c>
      <c r="E69" s="38">
        <f t="shared" si="159"/>
        <v>940</v>
      </c>
      <c r="F69" s="60">
        <f t="shared" si="17"/>
        <v>1</v>
      </c>
      <c r="G69" s="50">
        <f t="shared" ref="G69" si="160">ROUND(G28,-2)</f>
        <v>0</v>
      </c>
      <c r="H69" s="50">
        <f t="shared" si="19"/>
        <v>218</v>
      </c>
      <c r="I69" s="230">
        <f t="shared" si="20"/>
        <v>409000</v>
      </c>
      <c r="J69" s="420">
        <f t="shared" ref="J69" si="161">ROUND(J28,-2)</f>
        <v>20100</v>
      </c>
      <c r="K69" s="236">
        <f t="shared" ref="K69:L69" si="162">ROUND(K28,-1)</f>
        <v>460</v>
      </c>
      <c r="L69" s="236">
        <f t="shared" si="162"/>
        <v>440</v>
      </c>
      <c r="M69" s="407">
        <f t="shared" si="23"/>
        <v>5</v>
      </c>
      <c r="N69" s="236">
        <f t="shared" ref="N69" si="163">ROUND(N28,-2)</f>
        <v>0</v>
      </c>
      <c r="O69" s="236">
        <f t="shared" si="25"/>
        <v>218</v>
      </c>
      <c r="P69" s="230">
        <f t="shared" ref="P69:Q69" si="164">ROUND(P28,-3)</f>
        <v>951000</v>
      </c>
      <c r="Q69" s="414">
        <f t="shared" si="164"/>
        <v>1360000</v>
      </c>
    </row>
    <row r="70" spans="1:17" x14ac:dyDescent="0.25">
      <c r="A70" s="142">
        <v>2039</v>
      </c>
      <c r="B70" s="243">
        <f>'Bicycle Users'!BF69</f>
        <v>0</v>
      </c>
      <c r="C70" s="38">
        <f>'Pedestrian Users'!BM69</f>
        <v>0</v>
      </c>
      <c r="D70" s="38">
        <f t="shared" ref="D70:E70" si="165">ROUND(D29,-1)</f>
        <v>1000</v>
      </c>
      <c r="E70" s="38">
        <f t="shared" si="165"/>
        <v>950</v>
      </c>
      <c r="F70" s="60">
        <f t="shared" si="17"/>
        <v>1</v>
      </c>
      <c r="G70" s="50">
        <f t="shared" ref="G70" si="166">ROUND(G29,-2)</f>
        <v>0</v>
      </c>
      <c r="H70" s="50">
        <f t="shared" si="19"/>
        <v>218</v>
      </c>
      <c r="I70" s="230">
        <f t="shared" si="20"/>
        <v>414000</v>
      </c>
      <c r="J70" s="420">
        <f t="shared" ref="J70" si="167">ROUND(J29,-2)</f>
        <v>20300</v>
      </c>
      <c r="K70" s="236">
        <f t="shared" ref="K70:L70" si="168">ROUND(K29,-1)</f>
        <v>470</v>
      </c>
      <c r="L70" s="236">
        <f t="shared" si="168"/>
        <v>440</v>
      </c>
      <c r="M70" s="407">
        <f t="shared" si="23"/>
        <v>5</v>
      </c>
      <c r="N70" s="236">
        <f t="shared" ref="N70" si="169">ROUND(N29,-2)</f>
        <v>0</v>
      </c>
      <c r="O70" s="236">
        <f t="shared" si="25"/>
        <v>218</v>
      </c>
      <c r="P70" s="230">
        <f t="shared" ref="P70:Q70" si="170">ROUND(P29,-3)</f>
        <v>962000</v>
      </c>
      <c r="Q70" s="414">
        <f t="shared" si="170"/>
        <v>1375000</v>
      </c>
    </row>
    <row r="71" spans="1:17" x14ac:dyDescent="0.25">
      <c r="A71" s="142">
        <v>2040</v>
      </c>
      <c r="B71" s="243">
        <f>'Bicycle Users'!BF70</f>
        <v>0</v>
      </c>
      <c r="C71" s="38">
        <f>'Pedestrian Users'!BM70</f>
        <v>0</v>
      </c>
      <c r="D71" s="38">
        <f t="shared" ref="D71:E71" si="171">ROUND(D30,-1)</f>
        <v>1020</v>
      </c>
      <c r="E71" s="38">
        <f t="shared" si="171"/>
        <v>960</v>
      </c>
      <c r="F71" s="60">
        <f t="shared" si="17"/>
        <v>1</v>
      </c>
      <c r="G71" s="50">
        <f t="shared" ref="G71" si="172">ROUND(G30,-2)</f>
        <v>0</v>
      </c>
      <c r="H71" s="50">
        <f t="shared" si="19"/>
        <v>218</v>
      </c>
      <c r="I71" s="230">
        <f t="shared" si="20"/>
        <v>418000</v>
      </c>
      <c r="J71" s="420">
        <f t="shared" ref="J71" si="173">ROUND(J30,-2)</f>
        <v>20500</v>
      </c>
      <c r="K71" s="236">
        <f t="shared" ref="K71:L71" si="174">ROUND(K30,-1)</f>
        <v>470</v>
      </c>
      <c r="L71" s="236">
        <f t="shared" si="174"/>
        <v>450</v>
      </c>
      <c r="M71" s="407">
        <f t="shared" si="23"/>
        <v>5</v>
      </c>
      <c r="N71" s="236">
        <f t="shared" ref="N71" si="175">ROUND(N30,-2)</f>
        <v>0</v>
      </c>
      <c r="O71" s="236">
        <f t="shared" si="25"/>
        <v>218</v>
      </c>
      <c r="P71" s="230">
        <f t="shared" ref="P71:Q71" si="176">ROUND(P30,-3)</f>
        <v>972000</v>
      </c>
      <c r="Q71" s="414">
        <f t="shared" si="176"/>
        <v>1391000</v>
      </c>
    </row>
    <row r="72" spans="1:17" x14ac:dyDescent="0.25">
      <c r="A72" s="142">
        <v>2041</v>
      </c>
      <c r="B72" s="243">
        <f>'Bicycle Users'!BF71</f>
        <v>0</v>
      </c>
      <c r="C72" s="38">
        <f>'Pedestrian Users'!BM71</f>
        <v>0</v>
      </c>
      <c r="D72" s="38">
        <f t="shared" ref="D72:E72" si="177">ROUND(D31,-1)</f>
        <v>1030</v>
      </c>
      <c r="E72" s="38">
        <f t="shared" si="177"/>
        <v>970</v>
      </c>
      <c r="F72" s="60">
        <f t="shared" si="17"/>
        <v>1</v>
      </c>
      <c r="G72" s="50">
        <f t="shared" ref="G72" si="178">ROUND(G31,-2)</f>
        <v>0</v>
      </c>
      <c r="H72" s="50">
        <f t="shared" si="19"/>
        <v>218</v>
      </c>
      <c r="I72" s="230">
        <f t="shared" si="20"/>
        <v>423000</v>
      </c>
      <c r="J72" s="420">
        <f t="shared" ref="J72" si="179">ROUND(J31,-2)</f>
        <v>20800</v>
      </c>
      <c r="K72" s="236">
        <f t="shared" ref="K72:L72" si="180">ROUND(K31,-1)</f>
        <v>480</v>
      </c>
      <c r="L72" s="236">
        <f t="shared" si="180"/>
        <v>450</v>
      </c>
      <c r="M72" s="407">
        <f t="shared" si="23"/>
        <v>5</v>
      </c>
      <c r="N72" s="236">
        <f t="shared" ref="N72" si="181">ROUND(N31,-2)</f>
        <v>0</v>
      </c>
      <c r="O72" s="236">
        <f t="shared" si="25"/>
        <v>218</v>
      </c>
      <c r="P72" s="230">
        <f t="shared" ref="P72:Q72" si="182">ROUND(P31,-3)</f>
        <v>983000</v>
      </c>
      <c r="Q72" s="414">
        <f t="shared" si="182"/>
        <v>1406000</v>
      </c>
    </row>
    <row r="73" spans="1:17" x14ac:dyDescent="0.25">
      <c r="A73" s="142">
        <v>2042</v>
      </c>
      <c r="B73" s="243">
        <f>'Bicycle Users'!BF72</f>
        <v>0</v>
      </c>
      <c r="C73" s="38">
        <f>'Pedestrian Users'!BM72</f>
        <v>0</v>
      </c>
      <c r="D73" s="38">
        <f t="shared" ref="D73:E73" si="183">ROUND(D32,-1)</f>
        <v>1040</v>
      </c>
      <c r="E73" s="38">
        <f t="shared" si="183"/>
        <v>980</v>
      </c>
      <c r="F73" s="60">
        <f t="shared" si="17"/>
        <v>1</v>
      </c>
      <c r="G73" s="50">
        <f t="shared" ref="G73" si="184">ROUND(G32,-2)</f>
        <v>0</v>
      </c>
      <c r="H73" s="50">
        <f t="shared" si="19"/>
        <v>218</v>
      </c>
      <c r="I73" s="230">
        <f t="shared" si="20"/>
        <v>428000</v>
      </c>
      <c r="J73" s="420">
        <f t="shared" ref="J73" si="185">ROUND(J32,-2)</f>
        <v>21000</v>
      </c>
      <c r="K73" s="236">
        <f t="shared" ref="K73:L73" si="186">ROUND(K32,-1)</f>
        <v>480</v>
      </c>
      <c r="L73" s="236">
        <f t="shared" si="186"/>
        <v>460</v>
      </c>
      <c r="M73" s="407">
        <f t="shared" si="23"/>
        <v>5</v>
      </c>
      <c r="N73" s="236">
        <f t="shared" ref="N73" si="187">ROUND(N32,-2)</f>
        <v>0</v>
      </c>
      <c r="O73" s="236">
        <f t="shared" si="25"/>
        <v>218</v>
      </c>
      <c r="P73" s="230">
        <f t="shared" ref="P73:Q73" si="188">ROUND(P32,-3)</f>
        <v>994000</v>
      </c>
      <c r="Q73" s="414">
        <f t="shared" si="188"/>
        <v>1422000</v>
      </c>
    </row>
    <row r="74" spans="1:17" x14ac:dyDescent="0.25">
      <c r="A74" s="142">
        <v>2043</v>
      </c>
      <c r="B74" s="243">
        <f>'Bicycle Users'!BF73</f>
        <v>0</v>
      </c>
      <c r="C74" s="38">
        <f>'Pedestrian Users'!BM73</f>
        <v>0</v>
      </c>
      <c r="D74" s="38">
        <f t="shared" ref="D74:E74" si="189">ROUND(D33,-1)</f>
        <v>1050</v>
      </c>
      <c r="E74" s="38">
        <f t="shared" si="189"/>
        <v>990</v>
      </c>
      <c r="F74" s="60">
        <f t="shared" si="17"/>
        <v>1</v>
      </c>
      <c r="G74" s="50">
        <f t="shared" ref="G74" si="190">ROUND(G33,-2)</f>
        <v>0</v>
      </c>
      <c r="H74" s="50">
        <f t="shared" si="19"/>
        <v>218</v>
      </c>
      <c r="I74" s="230">
        <f t="shared" si="20"/>
        <v>433000</v>
      </c>
      <c r="J74" s="420">
        <f t="shared" ref="J74" si="191">ROUND(J33,-2)</f>
        <v>21200</v>
      </c>
      <c r="K74" s="236">
        <f t="shared" ref="K74:L74" si="192">ROUND(K33,-1)</f>
        <v>490</v>
      </c>
      <c r="L74" s="236">
        <f t="shared" si="192"/>
        <v>460</v>
      </c>
      <c r="M74" s="407">
        <f t="shared" si="23"/>
        <v>5</v>
      </c>
      <c r="N74" s="236">
        <f t="shared" ref="N74" si="193">ROUND(N33,-2)</f>
        <v>0</v>
      </c>
      <c r="O74" s="236">
        <f t="shared" si="25"/>
        <v>218</v>
      </c>
      <c r="P74" s="230">
        <f t="shared" ref="P74:Q74" si="194">ROUND(P33,-3)</f>
        <v>1005000</v>
      </c>
      <c r="Q74" s="414">
        <f t="shared" si="194"/>
        <v>1438000</v>
      </c>
    </row>
    <row r="75" spans="1:17" x14ac:dyDescent="0.25">
      <c r="A75" s="142">
        <v>2044</v>
      </c>
      <c r="B75" s="243">
        <f>'Bicycle Users'!BF74</f>
        <v>0</v>
      </c>
      <c r="C75" s="38">
        <f>'Pedestrian Users'!BM74</f>
        <v>0</v>
      </c>
      <c r="D75" s="38">
        <f t="shared" ref="D75:E75" si="195">ROUND(D34,-1)</f>
        <v>1060</v>
      </c>
      <c r="E75" s="38">
        <f t="shared" si="195"/>
        <v>1000</v>
      </c>
      <c r="F75" s="60">
        <f t="shared" si="17"/>
        <v>1</v>
      </c>
      <c r="G75" s="50">
        <f t="shared" ref="G75" si="196">ROUND(G34,-2)</f>
        <v>0</v>
      </c>
      <c r="H75" s="50">
        <f t="shared" si="19"/>
        <v>218</v>
      </c>
      <c r="I75" s="230">
        <f t="shared" si="20"/>
        <v>437000</v>
      </c>
      <c r="J75" s="420">
        <f t="shared" ref="J75" si="197">ROUND(J34,-2)</f>
        <v>21500</v>
      </c>
      <c r="K75" s="236">
        <f t="shared" ref="K75:L75" si="198">ROUND(K34,-1)</f>
        <v>490</v>
      </c>
      <c r="L75" s="236">
        <f t="shared" si="198"/>
        <v>470</v>
      </c>
      <c r="M75" s="407">
        <f t="shared" si="23"/>
        <v>5</v>
      </c>
      <c r="N75" s="236">
        <f t="shared" ref="N75" si="199">ROUND(N34,-2)</f>
        <v>0</v>
      </c>
      <c r="O75" s="236">
        <f t="shared" si="25"/>
        <v>218</v>
      </c>
      <c r="P75" s="230">
        <f t="shared" ref="P75:Q75" si="200">ROUND(P34,-3)</f>
        <v>1017000</v>
      </c>
      <c r="Q75" s="414">
        <f t="shared" si="200"/>
        <v>1454000</v>
      </c>
    </row>
    <row r="76" spans="1:17" x14ac:dyDescent="0.25">
      <c r="A76" s="142">
        <v>2045</v>
      </c>
      <c r="B76" s="243">
        <f>'Bicycle Users'!BF75</f>
        <v>0</v>
      </c>
      <c r="C76" s="38">
        <f>'Pedestrian Users'!BM75</f>
        <v>0</v>
      </c>
      <c r="D76" s="38">
        <f t="shared" ref="D76:E76" si="201">ROUND(D35,-1)</f>
        <v>1070</v>
      </c>
      <c r="E76" s="38">
        <f t="shared" si="201"/>
        <v>1010</v>
      </c>
      <c r="F76" s="60">
        <f t="shared" si="17"/>
        <v>1</v>
      </c>
      <c r="G76" s="50">
        <f t="shared" ref="G76" si="202">ROUND(G35,-2)</f>
        <v>0</v>
      </c>
      <c r="H76" s="50">
        <f t="shared" si="19"/>
        <v>218</v>
      </c>
      <c r="I76" s="230">
        <f t="shared" si="20"/>
        <v>442000</v>
      </c>
      <c r="J76" s="420">
        <f t="shared" ref="J76" si="203">ROUND(J35,-2)</f>
        <v>21700</v>
      </c>
      <c r="K76" s="236">
        <f t="shared" ref="K76:L76" si="204">ROUND(K35,-1)</f>
        <v>500</v>
      </c>
      <c r="L76" s="236">
        <f t="shared" si="204"/>
        <v>470</v>
      </c>
      <c r="M76" s="407">
        <f t="shared" si="23"/>
        <v>5</v>
      </c>
      <c r="N76" s="236">
        <f t="shared" ref="N76" si="205">ROUND(N35,-2)</f>
        <v>0</v>
      </c>
      <c r="O76" s="236">
        <f t="shared" si="25"/>
        <v>218</v>
      </c>
      <c r="P76" s="230">
        <f t="shared" ref="P76:Q76" si="206">ROUND(P35,-3)</f>
        <v>1028000</v>
      </c>
      <c r="Q76" s="414">
        <f t="shared" si="206"/>
        <v>1470000</v>
      </c>
    </row>
    <row r="77" spans="1:17" x14ac:dyDescent="0.25">
      <c r="A77" s="142">
        <v>2046</v>
      </c>
      <c r="B77" s="243">
        <f>'Bicycle Users'!BF76</f>
        <v>0</v>
      </c>
      <c r="C77" s="38">
        <f>'Pedestrian Users'!BM76</f>
        <v>0</v>
      </c>
      <c r="D77" s="38">
        <f t="shared" ref="D77:E77" si="207">ROUND(D36,-1)</f>
        <v>1090</v>
      </c>
      <c r="E77" s="38">
        <f t="shared" si="207"/>
        <v>1030</v>
      </c>
      <c r="F77" s="60">
        <f t="shared" si="17"/>
        <v>1</v>
      </c>
      <c r="G77" s="50">
        <f t="shared" ref="G77" si="208">ROUND(G36,-2)</f>
        <v>0</v>
      </c>
      <c r="H77" s="50">
        <f t="shared" si="19"/>
        <v>218</v>
      </c>
      <c r="I77" s="230">
        <f t="shared" si="20"/>
        <v>447000</v>
      </c>
      <c r="J77" s="420">
        <f t="shared" ref="J77" si="209">ROUND(J36,-2)</f>
        <v>21900</v>
      </c>
      <c r="K77" s="236">
        <f t="shared" ref="K77:L77" si="210">ROUND(K36,-1)</f>
        <v>500</v>
      </c>
      <c r="L77" s="236">
        <f t="shared" si="210"/>
        <v>480</v>
      </c>
      <c r="M77" s="407">
        <f t="shared" si="23"/>
        <v>5</v>
      </c>
      <c r="N77" s="236">
        <f t="shared" ref="N77" si="211">ROUND(N36,-2)</f>
        <v>0</v>
      </c>
      <c r="O77" s="236">
        <f t="shared" si="25"/>
        <v>218</v>
      </c>
      <c r="P77" s="230">
        <f t="shared" ref="P77:Q77" si="212">ROUND(P36,-3)</f>
        <v>1039000</v>
      </c>
      <c r="Q77" s="414">
        <f t="shared" si="212"/>
        <v>1487000</v>
      </c>
    </row>
    <row r="78" spans="1:17" x14ac:dyDescent="0.25">
      <c r="A78" s="142">
        <v>2047</v>
      </c>
      <c r="B78" s="243">
        <f>'Bicycle Users'!BF77</f>
        <v>0</v>
      </c>
      <c r="C78" s="38">
        <f>'Pedestrian Users'!BM77</f>
        <v>0</v>
      </c>
      <c r="D78" s="38">
        <f t="shared" ref="D78:E78" si="213">ROUND(D37,-1)</f>
        <v>1100</v>
      </c>
      <c r="E78" s="38">
        <f t="shared" si="213"/>
        <v>1040</v>
      </c>
      <c r="F78" s="60">
        <f t="shared" si="17"/>
        <v>1</v>
      </c>
      <c r="G78" s="50">
        <f t="shared" ref="G78" si="214">ROUND(G37,-2)</f>
        <v>0</v>
      </c>
      <c r="H78" s="50">
        <f t="shared" si="19"/>
        <v>218</v>
      </c>
      <c r="I78" s="230">
        <f t="shared" si="20"/>
        <v>452000</v>
      </c>
      <c r="J78" s="420">
        <f t="shared" ref="J78" si="215">ROUND(J37,-2)</f>
        <v>22200</v>
      </c>
      <c r="K78" s="236">
        <f t="shared" ref="K78:L78" si="216">ROUND(K37,-1)</f>
        <v>510</v>
      </c>
      <c r="L78" s="236">
        <f t="shared" si="216"/>
        <v>480</v>
      </c>
      <c r="M78" s="407">
        <f t="shared" si="23"/>
        <v>5</v>
      </c>
      <c r="N78" s="236">
        <f t="shared" ref="N78" si="217">ROUND(N37,-2)</f>
        <v>0</v>
      </c>
      <c r="O78" s="236">
        <f t="shared" si="25"/>
        <v>218</v>
      </c>
      <c r="P78" s="230">
        <f t="shared" ref="P78:Q78" si="218">ROUND(P37,-3)</f>
        <v>1051000</v>
      </c>
      <c r="Q78" s="414">
        <f t="shared" si="218"/>
        <v>1503000</v>
      </c>
    </row>
    <row r="79" spans="1:17" x14ac:dyDescent="0.25">
      <c r="A79" s="142">
        <f>A78+1</f>
        <v>2048</v>
      </c>
      <c r="B79" s="243">
        <f>'Bicycle Users'!BF78</f>
        <v>0</v>
      </c>
      <c r="C79" s="38">
        <f>'Pedestrian Users'!BM78</f>
        <v>0</v>
      </c>
      <c r="D79" s="38">
        <f t="shared" ref="D79:E79" si="219">ROUND(D38,-1)</f>
        <v>1110</v>
      </c>
      <c r="E79" s="38">
        <f t="shared" si="219"/>
        <v>1050</v>
      </c>
      <c r="F79" s="60">
        <f t="shared" si="17"/>
        <v>1</v>
      </c>
      <c r="G79" s="50">
        <f t="shared" ref="G79" si="220">ROUND(G38,-2)</f>
        <v>0</v>
      </c>
      <c r="H79" s="50">
        <f t="shared" si="19"/>
        <v>218</v>
      </c>
      <c r="I79" s="230">
        <f t="shared" si="20"/>
        <v>457000</v>
      </c>
      <c r="J79" s="420">
        <f t="shared" ref="J79" si="221">ROUND(J38,-2)</f>
        <v>22400</v>
      </c>
      <c r="K79" s="236">
        <f t="shared" ref="K79:L79" si="222">ROUND(K38,-1)</f>
        <v>520</v>
      </c>
      <c r="L79" s="236">
        <f t="shared" si="222"/>
        <v>490</v>
      </c>
      <c r="M79" s="407">
        <f t="shared" si="23"/>
        <v>5</v>
      </c>
      <c r="N79" s="236">
        <f t="shared" ref="N79" si="223">ROUND(N38,-2)</f>
        <v>0</v>
      </c>
      <c r="O79" s="236">
        <f t="shared" si="25"/>
        <v>218</v>
      </c>
      <c r="P79" s="230">
        <f t="shared" ref="P79:Q79" si="224">ROUND(P38,-3)</f>
        <v>1063000</v>
      </c>
      <c r="Q79" s="414">
        <f t="shared" si="224"/>
        <v>1520000</v>
      </c>
    </row>
    <row r="80" spans="1:17" ht="15.75" thickBot="1" x14ac:dyDescent="0.3">
      <c r="A80" s="142">
        <f t="shared" ref="A80" si="225">A79+1</f>
        <v>2049</v>
      </c>
      <c r="B80" s="243">
        <f>'Bicycle Users'!BF79</f>
        <v>0</v>
      </c>
      <c r="C80" s="38">
        <f>'Pedestrian Users'!BM79</f>
        <v>0</v>
      </c>
      <c r="D80" s="38">
        <f t="shared" ref="D80:E80" si="226">ROUND(D39,-1)</f>
        <v>1120</v>
      </c>
      <c r="E80" s="38">
        <f t="shared" si="226"/>
        <v>1060</v>
      </c>
      <c r="F80" s="60">
        <f t="shared" si="17"/>
        <v>1</v>
      </c>
      <c r="G80" s="50">
        <f t="shared" ref="G80" si="227">ROUND(G39,-2)</f>
        <v>0</v>
      </c>
      <c r="H80" s="50">
        <f t="shared" si="19"/>
        <v>218</v>
      </c>
      <c r="I80" s="230">
        <f t="shared" si="20"/>
        <v>462000</v>
      </c>
      <c r="J80" s="420">
        <f t="shared" ref="J80" si="228">ROUND(J39,-2)</f>
        <v>22700</v>
      </c>
      <c r="K80" s="236">
        <f t="shared" ref="K80:L80" si="229">ROUND(K39,-1)</f>
        <v>520</v>
      </c>
      <c r="L80" s="236">
        <f t="shared" si="229"/>
        <v>490</v>
      </c>
      <c r="M80" s="407">
        <f t="shared" si="23"/>
        <v>5</v>
      </c>
      <c r="N80" s="236">
        <f t="shared" ref="N80" si="230">ROUND(N39,-2)</f>
        <v>0</v>
      </c>
      <c r="O80" s="236">
        <f t="shared" si="25"/>
        <v>218</v>
      </c>
      <c r="P80" s="230">
        <f t="shared" ref="P80:Q80" si="231">ROUND(P39,-3)</f>
        <v>1075000</v>
      </c>
      <c r="Q80" s="414">
        <f t="shared" si="231"/>
        <v>1537000</v>
      </c>
    </row>
    <row r="81" spans="1:17" ht="15.75" thickBot="1" x14ac:dyDescent="0.3">
      <c r="A81" s="36" t="s">
        <v>165</v>
      </c>
      <c r="B81" s="171">
        <f>SUM(B49:B80)</f>
        <v>0</v>
      </c>
      <c r="C81" s="116">
        <f t="shared" ref="C81" si="232">SUM(C49:C80)</f>
        <v>0</v>
      </c>
      <c r="D81" s="116">
        <f t="shared" ref="D81:E81" si="233">ROUND(D40,-1)</f>
        <v>28790</v>
      </c>
      <c r="E81" s="116">
        <f t="shared" si="233"/>
        <v>27200</v>
      </c>
      <c r="F81" s="188">
        <f t="shared" si="17"/>
        <v>0</v>
      </c>
      <c r="G81" s="116">
        <f t="shared" ref="G81" si="234">ROUND(G40,-2)</f>
        <v>0</v>
      </c>
      <c r="H81" s="116">
        <f t="shared" si="19"/>
        <v>0</v>
      </c>
      <c r="I81" s="117">
        <f t="shared" si="20"/>
        <v>11858000</v>
      </c>
      <c r="J81" s="117">
        <f t="shared" ref="J81" si="235">ROUND(J40,-2)</f>
        <v>614100</v>
      </c>
      <c r="K81" s="117">
        <f t="shared" ref="K81:L81" si="236">ROUND(K40,-1)</f>
        <v>13380</v>
      </c>
      <c r="L81" s="117">
        <f t="shared" si="236"/>
        <v>12640</v>
      </c>
      <c r="M81" s="117">
        <f t="shared" si="23"/>
        <v>0</v>
      </c>
      <c r="N81" s="117">
        <f t="shared" ref="N81" si="237">ROUND(N40,-2)</f>
        <v>0</v>
      </c>
      <c r="O81" s="117">
        <f t="shared" si="25"/>
        <v>0</v>
      </c>
      <c r="P81" s="415">
        <f t="shared" ref="P81:Q81" si="238">ROUND(P40,-3)</f>
        <v>27563000</v>
      </c>
      <c r="Q81" s="415">
        <f t="shared" si="238"/>
        <v>39422000</v>
      </c>
    </row>
  </sheetData>
  <sheetProtection password="891C" sheet="1" objects="1" scenarios="1"/>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32" zoomScale="80" zoomScaleNormal="80" workbookViewId="0">
      <selection activeCell="K61" sqref="K61"/>
    </sheetView>
  </sheetViews>
  <sheetFormatPr defaultRowHeight="15" x14ac:dyDescent="0.25"/>
  <cols>
    <col min="1" max="1" width="9.140625" style="2"/>
    <col min="2" max="5" width="13.7109375" style="2" customWidth="1"/>
    <col min="6" max="16384" width="9.140625" style="2"/>
  </cols>
  <sheetData>
    <row r="1" spans="1:5" ht="15.75" thickBot="1" x14ac:dyDescent="0.3"/>
    <row r="2" spans="1:5" s="7" customFormat="1" ht="60" x14ac:dyDescent="0.25">
      <c r="A2" s="51" t="s">
        <v>132</v>
      </c>
      <c r="B2" s="114" t="s">
        <v>200</v>
      </c>
      <c r="C2" s="53" t="s">
        <v>362</v>
      </c>
      <c r="D2" s="54" t="s">
        <v>237</v>
      </c>
      <c r="E2" s="56" t="s">
        <v>225</v>
      </c>
    </row>
    <row r="3" spans="1:5" x14ac:dyDescent="0.25">
      <c r="A3" s="41">
        <v>2018</v>
      </c>
      <c r="B3" s="38">
        <f>'Reduced VMT'!Q8</f>
        <v>0</v>
      </c>
      <c r="C3" s="47">
        <f>Inputs!$B$45</f>
        <v>1.3779582849399923E-3</v>
      </c>
      <c r="D3" s="55">
        <f>B3*C3</f>
        <v>0</v>
      </c>
      <c r="E3" s="57">
        <f>ROUND(D3/((1+Inputs!$B$3)^(A3-2016)),0)</f>
        <v>0</v>
      </c>
    </row>
    <row r="4" spans="1:5" x14ac:dyDescent="0.25">
      <c r="A4" s="41">
        <v>2019</v>
      </c>
      <c r="B4" s="38">
        <f>'Reduced VMT'!Q9</f>
        <v>0</v>
      </c>
      <c r="C4" s="47">
        <f>Inputs!$B$45</f>
        <v>1.3779582849399923E-3</v>
      </c>
      <c r="D4" s="55">
        <f t="shared" ref="D4:D32" si="0">B4*C4</f>
        <v>0</v>
      </c>
      <c r="E4" s="57">
        <f>ROUND(D4/((1+Inputs!$B$3)^(A4-2016)),0)</f>
        <v>0</v>
      </c>
    </row>
    <row r="5" spans="1:5" x14ac:dyDescent="0.25">
      <c r="A5" s="41">
        <v>2020</v>
      </c>
      <c r="B5" s="38">
        <f>'Reduced VMT'!Q10</f>
        <v>1112902.0040896575</v>
      </c>
      <c r="C5" s="47">
        <f>Inputs!$B$45</f>
        <v>1.3779582849399923E-3</v>
      </c>
      <c r="D5" s="55">
        <f t="shared" si="0"/>
        <v>1533.5325368616645</v>
      </c>
      <c r="E5" s="57">
        <f>ROUND(D5/((1+Inputs!$B$3)^(A5-2016)),0)</f>
        <v>1170</v>
      </c>
    </row>
    <row r="6" spans="1:5" x14ac:dyDescent="0.25">
      <c r="A6" s="41">
        <v>2021</v>
      </c>
      <c r="B6" s="38">
        <f>'Reduced VMT'!Q11</f>
        <v>1125366.9137678817</v>
      </c>
      <c r="C6" s="47">
        <f>Inputs!$B$45</f>
        <v>1.3779582849399923E-3</v>
      </c>
      <c r="D6" s="55">
        <f t="shared" si="0"/>
        <v>1550.7086624238025</v>
      </c>
      <c r="E6" s="57">
        <f>ROUND(D6/((1+Inputs!$B$3)^(A6-2016)),0)</f>
        <v>1106</v>
      </c>
    </row>
    <row r="7" spans="1:5" x14ac:dyDescent="0.25">
      <c r="A7" s="41">
        <v>2022</v>
      </c>
      <c r="B7" s="38">
        <f>'Reduced VMT'!Q12</f>
        <v>1137971.4349956545</v>
      </c>
      <c r="C7" s="47">
        <f>Inputs!$B$45</f>
        <v>1.3779582849399923E-3</v>
      </c>
      <c r="D7" s="55">
        <f t="shared" si="0"/>
        <v>1568.0771668773141</v>
      </c>
      <c r="E7" s="57">
        <f>ROUND(D7/((1+Inputs!$B$3)^(A7-2016)),0)</f>
        <v>1045</v>
      </c>
    </row>
    <row r="8" spans="1:5" x14ac:dyDescent="0.25">
      <c r="A8" s="41">
        <v>2023</v>
      </c>
      <c r="B8" s="38">
        <f>'Reduced VMT'!Q13</f>
        <v>1150717.1314734169</v>
      </c>
      <c r="C8" s="47">
        <f>Inputs!$B$45</f>
        <v>1.3779582849399923E-3</v>
      </c>
      <c r="D8" s="55">
        <f t="shared" si="0"/>
        <v>1585.6402049361773</v>
      </c>
      <c r="E8" s="57">
        <f>ROUND(D8/((1+Inputs!$B$3)^(A8-2016)),0)</f>
        <v>987</v>
      </c>
    </row>
    <row r="9" spans="1:5" x14ac:dyDescent="0.25">
      <c r="A9" s="41">
        <v>2024</v>
      </c>
      <c r="B9" s="38">
        <f>'Reduced VMT'!Q14</f>
        <v>1163605.5844156276</v>
      </c>
      <c r="C9" s="47">
        <f>Inputs!$B$45</f>
        <v>1.3779582849399923E-3</v>
      </c>
      <c r="D9" s="55">
        <f t="shared" si="0"/>
        <v>1603.3999554479556</v>
      </c>
      <c r="E9" s="57">
        <f>ROUND(D9/((1+Inputs!$B$3)^(A9-2016)),0)</f>
        <v>933</v>
      </c>
    </row>
    <row r="10" spans="1:5" x14ac:dyDescent="0.25">
      <c r="A10" s="41">
        <v>2025</v>
      </c>
      <c r="B10" s="38">
        <f>'Reduced VMT'!Q15</f>
        <v>1176638.3927469258</v>
      </c>
      <c r="C10" s="47">
        <f>Inputs!$B$45</f>
        <v>1.3779582849399923E-3</v>
      </c>
      <c r="D10" s="55">
        <f t="shared" si="0"/>
        <v>1621.3586216641029</v>
      </c>
      <c r="E10" s="57">
        <f>ROUND(D10/((1+Inputs!$B$3)^(A10-2016)),0)</f>
        <v>882</v>
      </c>
    </row>
    <row r="11" spans="1:5" x14ac:dyDescent="0.25">
      <c r="A11" s="41">
        <v>2026</v>
      </c>
      <c r="B11" s="38">
        <f>'Reduced VMT'!Q16</f>
        <v>1189817.1733004921</v>
      </c>
      <c r="C11" s="47">
        <f>Inputs!$B$45</f>
        <v>1.3779582849399923E-3</v>
      </c>
      <c r="D11" s="55">
        <f t="shared" si="0"/>
        <v>1639.5184315132956</v>
      </c>
      <c r="E11" s="57">
        <f>ROUND(D11/((1+Inputs!$B$3)^(A11-2016)),0)</f>
        <v>833</v>
      </c>
    </row>
    <row r="12" spans="1:5" x14ac:dyDescent="0.25">
      <c r="A12" s="41">
        <v>2027</v>
      </c>
      <c r="B12" s="38">
        <f>'Reduced VMT'!Q17</f>
        <v>1203143.5610186297</v>
      </c>
      <c r="C12" s="47">
        <f>Inputs!$B$45</f>
        <v>1.3779582849399923E-3</v>
      </c>
      <c r="D12" s="55">
        <f t="shared" si="0"/>
        <v>1657.8816378778258</v>
      </c>
      <c r="E12" s="57">
        <f>ROUND(D12/((1+Inputs!$B$3)^(A12-2016)),0)</f>
        <v>788</v>
      </c>
    </row>
    <row r="13" spans="1:5" x14ac:dyDescent="0.25">
      <c r="A13" s="41">
        <v>2028</v>
      </c>
      <c r="B13" s="38">
        <f>'Reduced VMT'!Q18</f>
        <v>1216619.209155594</v>
      </c>
      <c r="C13" s="47">
        <f>Inputs!$B$45</f>
        <v>1.3779582849399923E-3</v>
      </c>
      <c r="D13" s="55">
        <f t="shared" si="0"/>
        <v>1676.4505188730921</v>
      </c>
      <c r="E13" s="57">
        <f>ROUND(D13/((1+Inputs!$B$3)^(A13-2016)),0)</f>
        <v>744</v>
      </c>
    </row>
    <row r="14" spans="1:5" x14ac:dyDescent="0.25">
      <c r="A14" s="41">
        <v>2029</v>
      </c>
      <c r="B14" s="38">
        <f>'Reduced VMT'!Q19</f>
        <v>1230245.789482693</v>
      </c>
      <c r="C14" s="47">
        <f>Inputs!$B$45</f>
        <v>1.3779582849399923E-3</v>
      </c>
      <c r="D14" s="55">
        <f t="shared" si="0"/>
        <v>1695.2273781302183</v>
      </c>
      <c r="E14" s="57">
        <f>ROUND(D14/((1+Inputs!$B$3)^(A14-2016)),0)</f>
        <v>703</v>
      </c>
    </row>
    <row r="15" spans="1:5" x14ac:dyDescent="0.25">
      <c r="A15" s="41">
        <v>2030</v>
      </c>
      <c r="B15" s="38">
        <f>'Reduced VMT'!Q20</f>
        <v>1244024.9924956858</v>
      </c>
      <c r="C15" s="47">
        <f>Inputs!$B$45</f>
        <v>1.3779582849399923E-3</v>
      </c>
      <c r="D15" s="55">
        <f t="shared" si="0"/>
        <v>1714.2145450818421</v>
      </c>
      <c r="E15" s="57">
        <f>ROUND(D15/((1+Inputs!$B$3)^(A15-2016)),0)</f>
        <v>665</v>
      </c>
    </row>
    <row r="16" spans="1:5" x14ac:dyDescent="0.25">
      <c r="A16" s="41">
        <v>2031</v>
      </c>
      <c r="B16" s="38">
        <f>'Reduced VMT'!Q21</f>
        <v>1257958.5276245011</v>
      </c>
      <c r="C16" s="47">
        <f>Inputs!$B$45</f>
        <v>1.3779582849399923E-3</v>
      </c>
      <c r="D16" s="55">
        <f t="shared" si="0"/>
        <v>1733.4143752510954</v>
      </c>
      <c r="E16" s="57">
        <f>ROUND(D16/((1+Inputs!$B$3)^(A16-2016)),0)</f>
        <v>628</v>
      </c>
    </row>
    <row r="17" spans="1:5" x14ac:dyDescent="0.25">
      <c r="A17" s="41">
        <v>2032</v>
      </c>
      <c r="B17" s="38">
        <f>'Reduced VMT'!Q22</f>
        <v>1272048.1234453102</v>
      </c>
      <c r="C17" s="47">
        <f>Inputs!$B$45</f>
        <v>1.3779582849399923E-3</v>
      </c>
      <c r="D17" s="55">
        <f t="shared" si="0"/>
        <v>1752.8292505438351</v>
      </c>
      <c r="E17" s="57">
        <f>ROUND(D17/((1+Inputs!$B$3)^(A17-2016)),0)</f>
        <v>594</v>
      </c>
    </row>
    <row r="18" spans="1:5" x14ac:dyDescent="0.25">
      <c r="A18" s="41">
        <v>2033</v>
      </c>
      <c r="B18" s="38">
        <f>'Reduced VMT'!Q23</f>
        <v>1286295.5278949686</v>
      </c>
      <c r="C18" s="47">
        <f>Inputs!$B$45</f>
        <v>1.3779582849399923E-3</v>
      </c>
      <c r="D18" s="55">
        <f t="shared" si="0"/>
        <v>1772.461579544133</v>
      </c>
      <c r="E18" s="57">
        <f>ROUND(D18/((1+Inputs!$B$3)^(A18-2016)),0)</f>
        <v>561</v>
      </c>
    </row>
    <row r="19" spans="1:5" x14ac:dyDescent="0.25">
      <c r="A19" s="41">
        <v>2034</v>
      </c>
      <c r="B19" s="38">
        <f>'Reduced VMT'!Q24</f>
        <v>1300702.5084878644</v>
      </c>
      <c r="C19" s="47">
        <f>Inputs!$B$45</f>
        <v>1.3779582849399923E-3</v>
      </c>
      <c r="D19" s="55">
        <f t="shared" si="0"/>
        <v>1792.3137978130833</v>
      </c>
      <c r="E19" s="57">
        <f>ROUND(D19/((1+Inputs!$B$3)^(A19-2016)),0)</f>
        <v>530</v>
      </c>
    </row>
    <row r="20" spans="1:5" x14ac:dyDescent="0.25">
      <c r="A20" s="41">
        <v>2035</v>
      </c>
      <c r="B20" s="38">
        <f>'Reduced VMT'!Q25</f>
        <v>1315270.8525351945</v>
      </c>
      <c r="C20" s="47">
        <f>Inputs!$B$45</f>
        <v>1.3779582849399923E-3</v>
      </c>
      <c r="D20" s="55">
        <f t="shared" si="0"/>
        <v>1812.3883681909581</v>
      </c>
      <c r="E20" s="57">
        <f>ROUND(D20/((1+Inputs!$B$3)^(A20-2016)),0)</f>
        <v>501</v>
      </c>
    </row>
    <row r="21" spans="1:5" x14ac:dyDescent="0.25">
      <c r="A21" s="41">
        <v>2036</v>
      </c>
      <c r="B21" s="38">
        <f>'Reduced VMT'!Q26</f>
        <v>1330002.3673666944</v>
      </c>
      <c r="C21" s="47">
        <f>Inputs!$B$45</f>
        <v>1.3779582849399923E-3</v>
      </c>
      <c r="D21" s="55">
        <f t="shared" si="0"/>
        <v>1832.6877811027398</v>
      </c>
      <c r="E21" s="57">
        <f>ROUND(D21/((1+Inputs!$B$3)^(A21-2016)),0)</f>
        <v>474</v>
      </c>
    </row>
    <row r="22" spans="1:5" x14ac:dyDescent="0.25">
      <c r="A22" s="41">
        <v>2037</v>
      </c>
      <c r="B22" s="38">
        <f>'Reduced VMT'!Q27</f>
        <v>1344898.8805548535</v>
      </c>
      <c r="C22" s="47">
        <f>Inputs!$B$45</f>
        <v>1.3779582849399923E-3</v>
      </c>
      <c r="D22" s="55">
        <f t="shared" si="0"/>
        <v>1853.2145548670815</v>
      </c>
      <c r="E22" s="57">
        <f>ROUND(D22/((1+Inputs!$B$3)^(A22-2016)),0)</f>
        <v>448</v>
      </c>
    </row>
    <row r="23" spans="1:5" x14ac:dyDescent="0.25">
      <c r="A23" s="41">
        <v>2038</v>
      </c>
      <c r="B23" s="38">
        <f>'Reduced VMT'!Q28</f>
        <v>1359962.2401416434</v>
      </c>
      <c r="C23" s="47">
        <f>Inputs!$B$45</f>
        <v>1.3779582849399923E-3</v>
      </c>
      <c r="D23" s="55">
        <f t="shared" si="0"/>
        <v>1873.971236008729</v>
      </c>
      <c r="E23" s="57">
        <f>ROUND(D23/((1+Inputs!$B$3)^(A23-2016)),0)</f>
        <v>423</v>
      </c>
    </row>
    <row r="24" spans="1:5" x14ac:dyDescent="0.25">
      <c r="A24" s="41">
        <v>2039</v>
      </c>
      <c r="B24" s="38">
        <f>'Reduced VMT'!Q29</f>
        <v>1375194.3148677801</v>
      </c>
      <c r="C24" s="47">
        <f>Inputs!$B$45</f>
        <v>1.3779582849399923E-3</v>
      </c>
      <c r="D24" s="55">
        <f t="shared" si="0"/>
        <v>1894.9603995744339</v>
      </c>
      <c r="E24" s="57">
        <f>ROUND(D24/((1+Inputs!$B$3)^(A24-2016)),0)</f>
        <v>400</v>
      </c>
    </row>
    <row r="25" spans="1:5" x14ac:dyDescent="0.25">
      <c r="A25" s="41">
        <v>2040</v>
      </c>
      <c r="B25" s="38">
        <f>'Reduced VMT'!Q30</f>
        <v>1390596.9944045618</v>
      </c>
      <c r="C25" s="47">
        <f>Inputs!$B$45</f>
        <v>1.3779582849399923E-3</v>
      </c>
      <c r="D25" s="55">
        <f t="shared" si="0"/>
        <v>1916.1846494524179</v>
      </c>
      <c r="E25" s="57">
        <f>ROUND(D25/((1+Inputs!$B$3)^(A25-2016)),0)</f>
        <v>378</v>
      </c>
    </row>
    <row r="26" spans="1:5" x14ac:dyDescent="0.25">
      <c r="A26" s="41">
        <v>2041</v>
      </c>
      <c r="B26" s="38">
        <f>'Reduced VMT'!Q31</f>
        <v>1406172.1895882937</v>
      </c>
      <c r="C26" s="47">
        <f>Inputs!$B$45</f>
        <v>1.3779582849399923E-3</v>
      </c>
      <c r="D26" s="55">
        <f t="shared" si="0"/>
        <v>1937.6466186953987</v>
      </c>
      <c r="E26" s="57">
        <f>ROUND(D26/((1+Inputs!$B$3)^(A26-2016)),0)</f>
        <v>357</v>
      </c>
    </row>
    <row r="27" spans="1:5" x14ac:dyDescent="0.25">
      <c r="A27" s="41">
        <v>2042</v>
      </c>
      <c r="B27" s="38">
        <f>'Reduced VMT'!Q32</f>
        <v>1421921.8326573493</v>
      </c>
      <c r="C27" s="47">
        <f>Inputs!$B$45</f>
        <v>1.3779582849399923E-3</v>
      </c>
      <c r="D27" s="55">
        <f t="shared" si="0"/>
        <v>1959.3489698472517</v>
      </c>
      <c r="E27" s="57">
        <f>ROUND(D27/((1+Inputs!$B$3)^(A27-2016)),0)</f>
        <v>337</v>
      </c>
    </row>
    <row r="28" spans="1:5" x14ac:dyDescent="0.25">
      <c r="A28" s="41">
        <v>2043</v>
      </c>
      <c r="B28" s="38">
        <f>'Reduced VMT'!Q33</f>
        <v>1437847.8774918788</v>
      </c>
      <c r="C28" s="47">
        <f>Inputs!$B$45</f>
        <v>1.3779582849399923E-3</v>
      </c>
      <c r="D28" s="55">
        <f t="shared" si="0"/>
        <v>1981.2943952733174</v>
      </c>
      <c r="E28" s="57">
        <f>ROUND(D28/((1+Inputs!$B$3)^(A28-2016)),0)</f>
        <v>319</v>
      </c>
    </row>
    <row r="29" spans="1:5" x14ac:dyDescent="0.25">
      <c r="A29" s="41">
        <v>2044</v>
      </c>
      <c r="B29" s="38">
        <f>'Reduced VMT'!Q34</f>
        <v>1453952.2998562029</v>
      </c>
      <c r="C29" s="47">
        <f>Inputs!$B$45</f>
        <v>1.3779582849399923E-3</v>
      </c>
      <c r="D29" s="55">
        <f t="shared" si="0"/>
        <v>2003.4856174944107</v>
      </c>
      <c r="E29" s="57">
        <f>ROUND(D29/((1+Inputs!$B$3)^(A29-2016)),0)</f>
        <v>301</v>
      </c>
    </row>
    <row r="30" spans="1:5" x14ac:dyDescent="0.25">
      <c r="A30" s="41">
        <v>2045</v>
      </c>
      <c r="B30" s="38">
        <f>'Reduced VMT'!Q35</f>
        <v>1470237.0976439284</v>
      </c>
      <c r="C30" s="47">
        <f>Inputs!$B$45</f>
        <v>1.3779582849399923E-3</v>
      </c>
      <c r="D30" s="55">
        <f t="shared" si="0"/>
        <v>2025.9253895245795</v>
      </c>
      <c r="E30" s="57">
        <f>ROUND(D30/((1+Inputs!$B$3)^(A30-2016)),0)</f>
        <v>285</v>
      </c>
    </row>
    <row r="31" spans="1:5" x14ac:dyDescent="0.25">
      <c r="A31" s="41">
        <v>2046</v>
      </c>
      <c r="B31" s="38">
        <f>'Reduced VMT'!Q36</f>
        <v>1486704.2911257991</v>
      </c>
      <c r="C31" s="47">
        <f>Inputs!$B$45</f>
        <v>1.3779582849399923E-3</v>
      </c>
      <c r="D31" s="55">
        <f t="shared" si="0"/>
        <v>2048.6164952126333</v>
      </c>
      <c r="E31" s="57">
        <f>ROUND(D31/((1+Inputs!$B$3)^(A31-2016)),0)</f>
        <v>269</v>
      </c>
    </row>
    <row r="32" spans="1:5" x14ac:dyDescent="0.25">
      <c r="A32" s="41">
        <v>2047</v>
      </c>
      <c r="B32" s="38">
        <f>'Reduced VMT'!Q37</f>
        <v>1503355.9232003326</v>
      </c>
      <c r="C32" s="47">
        <f>Inputs!$B$45</f>
        <v>1.3779582849399923E-3</v>
      </c>
      <c r="D32" s="55">
        <f t="shared" si="0"/>
        <v>2071.561749587509</v>
      </c>
      <c r="E32" s="57">
        <f>ROUND(D32/((1+Inputs!$B$3)^(A32-2016)),0)</f>
        <v>254</v>
      </c>
    </row>
    <row r="33" spans="1:5" s="4" customFormat="1" x14ac:dyDescent="0.25">
      <c r="A33" s="41">
        <v>2048</v>
      </c>
      <c r="B33" s="38">
        <f>'Reduced VMT'!Q38</f>
        <v>1520194.0596472556</v>
      </c>
      <c r="C33" s="47">
        <f>Inputs!$B$45</f>
        <v>1.3779582849399923E-3</v>
      </c>
      <c r="D33" s="55">
        <f t="shared" ref="D33:D34" si="1">B33*C33</f>
        <v>2094.7639992074965</v>
      </c>
      <c r="E33" s="57">
        <f>ROUND(D33/((1+Inputs!$B$3)^(A33-2016)),0)</f>
        <v>240</v>
      </c>
    </row>
    <row r="34" spans="1:5" s="4" customFormat="1" ht="15.75" thickBot="1" x14ac:dyDescent="0.3">
      <c r="A34" s="41">
        <v>2049</v>
      </c>
      <c r="B34" s="38">
        <f>'Reduced VMT'!Q39</f>
        <v>1537220.7893837853</v>
      </c>
      <c r="C34" s="47">
        <f>Inputs!$B$45</f>
        <v>1.3779582849399923E-3</v>
      </c>
      <c r="D34" s="55">
        <f t="shared" si="1"/>
        <v>2118.2261225133821</v>
      </c>
      <c r="E34" s="57">
        <f>ROUND(D34/((1+Inputs!$B$3)^(A34-2016)),0)</f>
        <v>227</v>
      </c>
    </row>
    <row r="35" spans="1:5" ht="15.75" thickBot="1" x14ac:dyDescent="0.3">
      <c r="A35" s="52" t="s">
        <v>165</v>
      </c>
      <c r="B35" s="116">
        <f>SUM(B3:B34)</f>
        <v>39421588.884860449</v>
      </c>
      <c r="C35" s="122"/>
      <c r="D35" s="120">
        <f>SUM(D3:D34)</f>
        <v>54321.305009391785</v>
      </c>
      <c r="E35" s="121">
        <f>SUM(E3:E34)</f>
        <v>17382</v>
      </c>
    </row>
    <row r="38" spans="1:5" ht="15.75" thickBot="1" x14ac:dyDescent="0.3"/>
    <row r="39" spans="1:5" ht="60" x14ac:dyDescent="0.25">
      <c r="A39" s="603" t="s">
        <v>132</v>
      </c>
      <c r="B39" s="404" t="s">
        <v>200</v>
      </c>
      <c r="C39" s="53" t="s">
        <v>362</v>
      </c>
      <c r="D39" s="54" t="s">
        <v>237</v>
      </c>
      <c r="E39" s="56" t="s">
        <v>225</v>
      </c>
    </row>
    <row r="40" spans="1:5" x14ac:dyDescent="0.25">
      <c r="A40" s="41">
        <v>2018</v>
      </c>
      <c r="B40" s="38">
        <f>ROUND(B3,-3)</f>
        <v>0</v>
      </c>
      <c r="C40" s="106">
        <f>C3</f>
        <v>1.3779582849399923E-3</v>
      </c>
      <c r="D40" s="38">
        <f>ROUND(D3,-2)</f>
        <v>0</v>
      </c>
      <c r="E40" s="38">
        <f>ROUND(E3,-2)</f>
        <v>0</v>
      </c>
    </row>
    <row r="41" spans="1:5" x14ac:dyDescent="0.25">
      <c r="A41" s="41">
        <v>2019</v>
      </c>
      <c r="B41" s="38">
        <f t="shared" ref="B41:B72" si="2">ROUND(B4,-3)</f>
        <v>0</v>
      </c>
      <c r="C41" s="106">
        <f t="shared" ref="C41:C71" si="3">C4</f>
        <v>1.3779582849399923E-3</v>
      </c>
      <c r="D41" s="55">
        <f t="shared" ref="D41:E41" si="4">ROUND(D4,-2)</f>
        <v>0</v>
      </c>
      <c r="E41" s="57">
        <f t="shared" si="4"/>
        <v>0</v>
      </c>
    </row>
    <row r="42" spans="1:5" x14ac:dyDescent="0.25">
      <c r="A42" s="41">
        <v>2020</v>
      </c>
      <c r="B42" s="38">
        <f t="shared" si="2"/>
        <v>1113000</v>
      </c>
      <c r="C42" s="106">
        <f t="shared" si="3"/>
        <v>1.3779582849399923E-3</v>
      </c>
      <c r="D42" s="55">
        <f t="shared" ref="D42:E42" si="5">ROUND(D5,-2)</f>
        <v>1500</v>
      </c>
      <c r="E42" s="57">
        <f t="shared" si="5"/>
        <v>1200</v>
      </c>
    </row>
    <row r="43" spans="1:5" x14ac:dyDescent="0.25">
      <c r="A43" s="41">
        <v>2021</v>
      </c>
      <c r="B43" s="38">
        <f t="shared" si="2"/>
        <v>1125000</v>
      </c>
      <c r="C43" s="106">
        <f t="shared" si="3"/>
        <v>1.3779582849399923E-3</v>
      </c>
      <c r="D43" s="55">
        <f t="shared" ref="D43:E43" si="6">ROUND(D6,-2)</f>
        <v>1600</v>
      </c>
      <c r="E43" s="57">
        <f t="shared" si="6"/>
        <v>1100</v>
      </c>
    </row>
    <row r="44" spans="1:5" x14ac:dyDescent="0.25">
      <c r="A44" s="41">
        <v>2022</v>
      </c>
      <c r="B44" s="38">
        <f t="shared" si="2"/>
        <v>1138000</v>
      </c>
      <c r="C44" s="106">
        <f t="shared" si="3"/>
        <v>1.3779582849399923E-3</v>
      </c>
      <c r="D44" s="55">
        <f t="shared" ref="D44:E44" si="7">ROUND(D7,-2)</f>
        <v>1600</v>
      </c>
      <c r="E44" s="57">
        <f t="shared" si="7"/>
        <v>1000</v>
      </c>
    </row>
    <row r="45" spans="1:5" x14ac:dyDescent="0.25">
      <c r="A45" s="41">
        <v>2023</v>
      </c>
      <c r="B45" s="38">
        <f t="shared" si="2"/>
        <v>1151000</v>
      </c>
      <c r="C45" s="106">
        <f t="shared" si="3"/>
        <v>1.3779582849399923E-3</v>
      </c>
      <c r="D45" s="55">
        <f t="shared" ref="D45:E45" si="8">ROUND(D8,-2)</f>
        <v>1600</v>
      </c>
      <c r="E45" s="57">
        <f t="shared" si="8"/>
        <v>1000</v>
      </c>
    </row>
    <row r="46" spans="1:5" x14ac:dyDescent="0.25">
      <c r="A46" s="41">
        <v>2024</v>
      </c>
      <c r="B46" s="38">
        <f t="shared" si="2"/>
        <v>1164000</v>
      </c>
      <c r="C46" s="106">
        <f t="shared" si="3"/>
        <v>1.3779582849399923E-3</v>
      </c>
      <c r="D46" s="55">
        <f t="shared" ref="D46:E46" si="9">ROUND(D9,-2)</f>
        <v>1600</v>
      </c>
      <c r="E46" s="57">
        <f t="shared" si="9"/>
        <v>900</v>
      </c>
    </row>
    <row r="47" spans="1:5" x14ac:dyDescent="0.25">
      <c r="A47" s="41">
        <v>2025</v>
      </c>
      <c r="B47" s="38">
        <f t="shared" si="2"/>
        <v>1177000</v>
      </c>
      <c r="C47" s="106">
        <f t="shared" si="3"/>
        <v>1.3779582849399923E-3</v>
      </c>
      <c r="D47" s="55">
        <f t="shared" ref="D47:E47" si="10">ROUND(D10,-2)</f>
        <v>1600</v>
      </c>
      <c r="E47" s="57">
        <f t="shared" si="10"/>
        <v>900</v>
      </c>
    </row>
    <row r="48" spans="1:5" x14ac:dyDescent="0.25">
      <c r="A48" s="41">
        <v>2026</v>
      </c>
      <c r="B48" s="38">
        <f t="shared" si="2"/>
        <v>1190000</v>
      </c>
      <c r="C48" s="106">
        <f t="shared" si="3"/>
        <v>1.3779582849399923E-3</v>
      </c>
      <c r="D48" s="55">
        <f t="shared" ref="D48:E48" si="11">ROUND(D11,-2)</f>
        <v>1600</v>
      </c>
      <c r="E48" s="57">
        <f t="shared" si="11"/>
        <v>800</v>
      </c>
    </row>
    <row r="49" spans="1:5" x14ac:dyDescent="0.25">
      <c r="A49" s="41">
        <v>2027</v>
      </c>
      <c r="B49" s="38">
        <f t="shared" si="2"/>
        <v>1203000</v>
      </c>
      <c r="C49" s="106">
        <f t="shared" si="3"/>
        <v>1.3779582849399923E-3</v>
      </c>
      <c r="D49" s="55">
        <f t="shared" ref="D49:E49" si="12">ROUND(D12,-2)</f>
        <v>1700</v>
      </c>
      <c r="E49" s="57">
        <f t="shared" si="12"/>
        <v>800</v>
      </c>
    </row>
    <row r="50" spans="1:5" x14ac:dyDescent="0.25">
      <c r="A50" s="41">
        <v>2028</v>
      </c>
      <c r="B50" s="38">
        <f t="shared" si="2"/>
        <v>1217000</v>
      </c>
      <c r="C50" s="106">
        <f t="shared" si="3"/>
        <v>1.3779582849399923E-3</v>
      </c>
      <c r="D50" s="55">
        <f t="shared" ref="D50:E50" si="13">ROUND(D13,-2)</f>
        <v>1700</v>
      </c>
      <c r="E50" s="57">
        <f t="shared" si="13"/>
        <v>700</v>
      </c>
    </row>
    <row r="51" spans="1:5" x14ac:dyDescent="0.25">
      <c r="A51" s="41">
        <v>2029</v>
      </c>
      <c r="B51" s="38">
        <f t="shared" si="2"/>
        <v>1230000</v>
      </c>
      <c r="C51" s="106">
        <f t="shared" si="3"/>
        <v>1.3779582849399923E-3</v>
      </c>
      <c r="D51" s="55">
        <f t="shared" ref="D51:E51" si="14">ROUND(D14,-2)</f>
        <v>1700</v>
      </c>
      <c r="E51" s="57">
        <f t="shared" si="14"/>
        <v>700</v>
      </c>
    </row>
    <row r="52" spans="1:5" x14ac:dyDescent="0.25">
      <c r="A52" s="41">
        <v>2030</v>
      </c>
      <c r="B52" s="38">
        <f t="shared" si="2"/>
        <v>1244000</v>
      </c>
      <c r="C52" s="106">
        <f t="shared" si="3"/>
        <v>1.3779582849399923E-3</v>
      </c>
      <c r="D52" s="55">
        <f t="shared" ref="D52:E52" si="15">ROUND(D15,-2)</f>
        <v>1700</v>
      </c>
      <c r="E52" s="57">
        <f t="shared" si="15"/>
        <v>700</v>
      </c>
    </row>
    <row r="53" spans="1:5" x14ac:dyDescent="0.25">
      <c r="A53" s="41">
        <v>2031</v>
      </c>
      <c r="B53" s="38">
        <f t="shared" si="2"/>
        <v>1258000</v>
      </c>
      <c r="C53" s="106">
        <f t="shared" si="3"/>
        <v>1.3779582849399923E-3</v>
      </c>
      <c r="D53" s="55">
        <f t="shared" ref="D53:E53" si="16">ROUND(D16,-2)</f>
        <v>1700</v>
      </c>
      <c r="E53" s="57">
        <f t="shared" si="16"/>
        <v>600</v>
      </c>
    </row>
    <row r="54" spans="1:5" x14ac:dyDescent="0.25">
      <c r="A54" s="41">
        <v>2032</v>
      </c>
      <c r="B54" s="38">
        <f t="shared" si="2"/>
        <v>1272000</v>
      </c>
      <c r="C54" s="106">
        <f t="shared" si="3"/>
        <v>1.3779582849399923E-3</v>
      </c>
      <c r="D54" s="55">
        <f t="shared" ref="D54:E54" si="17">ROUND(D17,-2)</f>
        <v>1800</v>
      </c>
      <c r="E54" s="57">
        <f t="shared" si="17"/>
        <v>600</v>
      </c>
    </row>
    <row r="55" spans="1:5" x14ac:dyDescent="0.25">
      <c r="A55" s="41">
        <v>2033</v>
      </c>
      <c r="B55" s="38">
        <f t="shared" si="2"/>
        <v>1286000</v>
      </c>
      <c r="C55" s="106">
        <f t="shared" si="3"/>
        <v>1.3779582849399923E-3</v>
      </c>
      <c r="D55" s="55">
        <f t="shared" ref="D55:E55" si="18">ROUND(D18,-2)</f>
        <v>1800</v>
      </c>
      <c r="E55" s="57">
        <f t="shared" si="18"/>
        <v>600</v>
      </c>
    </row>
    <row r="56" spans="1:5" x14ac:dyDescent="0.25">
      <c r="A56" s="41">
        <v>2034</v>
      </c>
      <c r="B56" s="38">
        <f t="shared" si="2"/>
        <v>1301000</v>
      </c>
      <c r="C56" s="106">
        <f t="shared" si="3"/>
        <v>1.3779582849399923E-3</v>
      </c>
      <c r="D56" s="55">
        <f t="shared" ref="D56:E56" si="19">ROUND(D19,-2)</f>
        <v>1800</v>
      </c>
      <c r="E56" s="57">
        <f t="shared" si="19"/>
        <v>500</v>
      </c>
    </row>
    <row r="57" spans="1:5" x14ac:dyDescent="0.25">
      <c r="A57" s="41">
        <v>2035</v>
      </c>
      <c r="B57" s="38">
        <f t="shared" si="2"/>
        <v>1315000</v>
      </c>
      <c r="C57" s="106">
        <f t="shared" si="3"/>
        <v>1.3779582849399923E-3</v>
      </c>
      <c r="D57" s="55">
        <f t="shared" ref="D57:E57" si="20">ROUND(D20,-2)</f>
        <v>1800</v>
      </c>
      <c r="E57" s="57">
        <f t="shared" si="20"/>
        <v>500</v>
      </c>
    </row>
    <row r="58" spans="1:5" x14ac:dyDescent="0.25">
      <c r="A58" s="41">
        <v>2036</v>
      </c>
      <c r="B58" s="38">
        <f t="shared" si="2"/>
        <v>1330000</v>
      </c>
      <c r="C58" s="106">
        <f t="shared" si="3"/>
        <v>1.3779582849399923E-3</v>
      </c>
      <c r="D58" s="55">
        <f t="shared" ref="D58:E58" si="21">ROUND(D21,-2)</f>
        <v>1800</v>
      </c>
      <c r="E58" s="57">
        <f t="shared" si="21"/>
        <v>500</v>
      </c>
    </row>
    <row r="59" spans="1:5" x14ac:dyDescent="0.25">
      <c r="A59" s="41">
        <v>2037</v>
      </c>
      <c r="B59" s="38">
        <f t="shared" si="2"/>
        <v>1345000</v>
      </c>
      <c r="C59" s="106">
        <f t="shared" si="3"/>
        <v>1.3779582849399923E-3</v>
      </c>
      <c r="D59" s="55">
        <f t="shared" ref="D59:E59" si="22">ROUND(D22,-2)</f>
        <v>1900</v>
      </c>
      <c r="E59" s="57">
        <f t="shared" si="22"/>
        <v>400</v>
      </c>
    </row>
    <row r="60" spans="1:5" x14ac:dyDescent="0.25">
      <c r="A60" s="41">
        <v>2038</v>
      </c>
      <c r="B60" s="38">
        <f t="shared" si="2"/>
        <v>1360000</v>
      </c>
      <c r="C60" s="106">
        <f t="shared" si="3"/>
        <v>1.3779582849399923E-3</v>
      </c>
      <c r="D60" s="55">
        <f t="shared" ref="D60:E60" si="23">ROUND(D23,-2)</f>
        <v>1900</v>
      </c>
      <c r="E60" s="57">
        <f t="shared" si="23"/>
        <v>400</v>
      </c>
    </row>
    <row r="61" spans="1:5" x14ac:dyDescent="0.25">
      <c r="A61" s="41">
        <v>2039</v>
      </c>
      <c r="B61" s="38">
        <f t="shared" si="2"/>
        <v>1375000</v>
      </c>
      <c r="C61" s="106">
        <f t="shared" si="3"/>
        <v>1.3779582849399923E-3</v>
      </c>
      <c r="D61" s="55">
        <f t="shared" ref="D61:E61" si="24">ROUND(D24,-2)</f>
        <v>1900</v>
      </c>
      <c r="E61" s="57">
        <f t="shared" si="24"/>
        <v>400</v>
      </c>
    </row>
    <row r="62" spans="1:5" x14ac:dyDescent="0.25">
      <c r="A62" s="41">
        <v>2040</v>
      </c>
      <c r="B62" s="38">
        <f t="shared" si="2"/>
        <v>1391000</v>
      </c>
      <c r="C62" s="106">
        <f t="shared" si="3"/>
        <v>1.3779582849399923E-3</v>
      </c>
      <c r="D62" s="55">
        <f t="shared" ref="D62:E62" si="25">ROUND(D25,-2)</f>
        <v>1900</v>
      </c>
      <c r="E62" s="57">
        <f t="shared" si="25"/>
        <v>400</v>
      </c>
    </row>
    <row r="63" spans="1:5" x14ac:dyDescent="0.25">
      <c r="A63" s="41">
        <v>2041</v>
      </c>
      <c r="B63" s="38">
        <f t="shared" si="2"/>
        <v>1406000</v>
      </c>
      <c r="C63" s="106">
        <f t="shared" si="3"/>
        <v>1.3779582849399923E-3</v>
      </c>
      <c r="D63" s="55">
        <f t="shared" ref="D63:E63" si="26">ROUND(D26,-2)</f>
        <v>1900</v>
      </c>
      <c r="E63" s="57">
        <f t="shared" si="26"/>
        <v>400</v>
      </c>
    </row>
    <row r="64" spans="1:5" x14ac:dyDescent="0.25">
      <c r="A64" s="41">
        <v>2042</v>
      </c>
      <c r="B64" s="38">
        <f t="shared" si="2"/>
        <v>1422000</v>
      </c>
      <c r="C64" s="106">
        <f t="shared" si="3"/>
        <v>1.3779582849399923E-3</v>
      </c>
      <c r="D64" s="55">
        <f t="shared" ref="D64:E64" si="27">ROUND(D27,-2)</f>
        <v>2000</v>
      </c>
      <c r="E64" s="57">
        <f t="shared" si="27"/>
        <v>300</v>
      </c>
    </row>
    <row r="65" spans="1:5" x14ac:dyDescent="0.25">
      <c r="A65" s="41">
        <v>2043</v>
      </c>
      <c r="B65" s="38">
        <f t="shared" si="2"/>
        <v>1438000</v>
      </c>
      <c r="C65" s="106">
        <f t="shared" si="3"/>
        <v>1.3779582849399923E-3</v>
      </c>
      <c r="D65" s="55">
        <f t="shared" ref="D65:E65" si="28">ROUND(D28,-2)</f>
        <v>2000</v>
      </c>
      <c r="E65" s="57">
        <f t="shared" si="28"/>
        <v>300</v>
      </c>
    </row>
    <row r="66" spans="1:5" x14ac:dyDescent="0.25">
      <c r="A66" s="41">
        <v>2044</v>
      </c>
      <c r="B66" s="38">
        <f t="shared" si="2"/>
        <v>1454000</v>
      </c>
      <c r="C66" s="106">
        <f t="shared" si="3"/>
        <v>1.3779582849399923E-3</v>
      </c>
      <c r="D66" s="55">
        <f t="shared" ref="D66:E66" si="29">ROUND(D29,-2)</f>
        <v>2000</v>
      </c>
      <c r="E66" s="57">
        <f t="shared" si="29"/>
        <v>300</v>
      </c>
    </row>
    <row r="67" spans="1:5" x14ac:dyDescent="0.25">
      <c r="A67" s="41">
        <v>2045</v>
      </c>
      <c r="B67" s="38">
        <f t="shared" si="2"/>
        <v>1470000</v>
      </c>
      <c r="C67" s="106">
        <f t="shared" si="3"/>
        <v>1.3779582849399923E-3</v>
      </c>
      <c r="D67" s="55">
        <f t="shared" ref="D67:E67" si="30">ROUND(D30,-2)</f>
        <v>2000</v>
      </c>
      <c r="E67" s="57">
        <f t="shared" si="30"/>
        <v>300</v>
      </c>
    </row>
    <row r="68" spans="1:5" x14ac:dyDescent="0.25">
      <c r="A68" s="41">
        <v>2046</v>
      </c>
      <c r="B68" s="38">
        <f t="shared" si="2"/>
        <v>1487000</v>
      </c>
      <c r="C68" s="106">
        <f t="shared" si="3"/>
        <v>1.3779582849399923E-3</v>
      </c>
      <c r="D68" s="55">
        <f t="shared" ref="D68:E68" si="31">ROUND(D31,-2)</f>
        <v>2000</v>
      </c>
      <c r="E68" s="57">
        <f t="shared" si="31"/>
        <v>300</v>
      </c>
    </row>
    <row r="69" spans="1:5" x14ac:dyDescent="0.25">
      <c r="A69" s="41">
        <v>2047</v>
      </c>
      <c r="B69" s="38">
        <f t="shared" si="2"/>
        <v>1503000</v>
      </c>
      <c r="C69" s="106">
        <f t="shared" si="3"/>
        <v>1.3779582849399923E-3</v>
      </c>
      <c r="D69" s="55">
        <f t="shared" ref="D69:E69" si="32">ROUND(D32,-2)</f>
        <v>2100</v>
      </c>
      <c r="E69" s="57">
        <f t="shared" si="32"/>
        <v>300</v>
      </c>
    </row>
    <row r="70" spans="1:5" x14ac:dyDescent="0.25">
      <c r="A70" s="41">
        <v>2048</v>
      </c>
      <c r="B70" s="38">
        <f t="shared" si="2"/>
        <v>1520000</v>
      </c>
      <c r="C70" s="106">
        <f t="shared" si="3"/>
        <v>1.3779582849399923E-3</v>
      </c>
      <c r="D70" s="55">
        <f t="shared" ref="D70:E70" si="33">ROUND(D33,-2)</f>
        <v>2100</v>
      </c>
      <c r="E70" s="57">
        <f t="shared" si="33"/>
        <v>200</v>
      </c>
    </row>
    <row r="71" spans="1:5" ht="15.75" thickBot="1" x14ac:dyDescent="0.3">
      <c r="A71" s="41">
        <v>2049</v>
      </c>
      <c r="B71" s="38">
        <f t="shared" si="2"/>
        <v>1537000</v>
      </c>
      <c r="C71" s="106">
        <f t="shared" si="3"/>
        <v>1.3779582849399923E-3</v>
      </c>
      <c r="D71" s="55">
        <f t="shared" ref="D71:E71" si="34">ROUND(D34,-2)</f>
        <v>2100</v>
      </c>
      <c r="E71" s="57">
        <f t="shared" si="34"/>
        <v>200</v>
      </c>
    </row>
    <row r="72" spans="1:5" ht="15.75" thickBot="1" x14ac:dyDescent="0.3">
      <c r="A72" s="52" t="s">
        <v>165</v>
      </c>
      <c r="B72" s="116">
        <f t="shared" si="2"/>
        <v>39422000</v>
      </c>
      <c r="C72" s="611"/>
      <c r="D72" s="120">
        <f t="shared" ref="D72:E72" si="35">ROUND(D35,-2)</f>
        <v>54300</v>
      </c>
      <c r="E72" s="121">
        <f t="shared" si="35"/>
        <v>17400</v>
      </c>
    </row>
  </sheetData>
  <sheetProtection password="891C"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opLeftCell="A37" zoomScale="80" zoomScaleNormal="80" workbookViewId="0">
      <selection activeCell="E71" sqref="B39:E71"/>
    </sheetView>
  </sheetViews>
  <sheetFormatPr defaultRowHeight="15" x14ac:dyDescent="0.25"/>
  <cols>
    <col min="2" max="5" width="13.7109375" customWidth="1"/>
  </cols>
  <sheetData>
    <row r="1" spans="1:5" ht="15.75" thickBot="1" x14ac:dyDescent="0.3"/>
    <row r="2" spans="1:5" s="7" customFormat="1" ht="60" x14ac:dyDescent="0.25">
      <c r="A2" s="51" t="s">
        <v>132</v>
      </c>
      <c r="B2" s="114" t="s">
        <v>200</v>
      </c>
      <c r="C2" s="53" t="s">
        <v>215</v>
      </c>
      <c r="D2" s="54" t="s">
        <v>238</v>
      </c>
      <c r="E2" s="56" t="s">
        <v>225</v>
      </c>
    </row>
    <row r="3" spans="1:5" x14ac:dyDescent="0.25">
      <c r="A3" s="41">
        <v>2018</v>
      </c>
      <c r="B3" s="38">
        <f>'Reduced VMT'!Q8</f>
        <v>0</v>
      </c>
      <c r="C3" s="47">
        <f>Inputs!$B$40</f>
        <v>6.213313794677415E-2</v>
      </c>
      <c r="D3" s="55">
        <f>B3*C3</f>
        <v>0</v>
      </c>
      <c r="E3" s="57">
        <f>ROUND(D3/((1+Inputs!$B$3)^(A3-2016)),0)</f>
        <v>0</v>
      </c>
    </row>
    <row r="4" spans="1:5" x14ac:dyDescent="0.25">
      <c r="A4" s="41">
        <v>2019</v>
      </c>
      <c r="B4" s="38">
        <f>'Reduced VMT'!Q9</f>
        <v>0</v>
      </c>
      <c r="C4" s="47">
        <f>Inputs!$B$40</f>
        <v>6.213313794677415E-2</v>
      </c>
      <c r="D4" s="55">
        <f t="shared" ref="D4:D32" si="0">B4*C4</f>
        <v>0</v>
      </c>
      <c r="E4" s="57">
        <f>ROUND(D4/((1+Inputs!$B$3)^(A4-2016)),0)</f>
        <v>0</v>
      </c>
    </row>
    <row r="5" spans="1:5" x14ac:dyDescent="0.25">
      <c r="A5" s="41">
        <v>2020</v>
      </c>
      <c r="B5" s="38">
        <f>'Reduced VMT'!Q10</f>
        <v>1112902.0040896575</v>
      </c>
      <c r="C5" s="47">
        <f>Inputs!$B$40</f>
        <v>6.213313794677415E-2</v>
      </c>
      <c r="D5" s="55">
        <f t="shared" si="0"/>
        <v>69148.093741344099</v>
      </c>
      <c r="E5" s="57">
        <f>ROUND(D5/((1+Inputs!$B$3)^(A5-2016)),0)</f>
        <v>52753</v>
      </c>
    </row>
    <row r="6" spans="1:5" x14ac:dyDescent="0.25">
      <c r="A6" s="41">
        <v>2021</v>
      </c>
      <c r="B6" s="38">
        <f>'Reduced VMT'!Q11</f>
        <v>1125366.9137678817</v>
      </c>
      <c r="C6" s="47">
        <f>Inputs!$B$40</f>
        <v>6.213313794677415E-2</v>
      </c>
      <c r="D6" s="55">
        <f t="shared" si="0"/>
        <v>69922.577693875282</v>
      </c>
      <c r="E6" s="57">
        <f>ROUND(D6/((1+Inputs!$B$3)^(A6-2016)),0)</f>
        <v>49854</v>
      </c>
    </row>
    <row r="7" spans="1:5" x14ac:dyDescent="0.25">
      <c r="A7" s="41">
        <v>2022</v>
      </c>
      <c r="B7" s="38">
        <f>'Reduced VMT'!Q12</f>
        <v>1137971.4349956545</v>
      </c>
      <c r="C7" s="47">
        <f>Inputs!$B$40</f>
        <v>6.213313794677415E-2</v>
      </c>
      <c r="D7" s="55">
        <f t="shared" si="0"/>
        <v>70705.736150073528</v>
      </c>
      <c r="E7" s="57">
        <f>ROUND(D7/((1+Inputs!$B$3)^(A7-2016)),0)</f>
        <v>47114</v>
      </c>
    </row>
    <row r="8" spans="1:5" x14ac:dyDescent="0.25">
      <c r="A8" s="41">
        <v>2023</v>
      </c>
      <c r="B8" s="38">
        <f>'Reduced VMT'!Q13</f>
        <v>1150717.1314734169</v>
      </c>
      <c r="C8" s="47">
        <f>Inputs!$B$40</f>
        <v>6.213313794677415E-2</v>
      </c>
      <c r="D8" s="55">
        <f t="shared" si="0"/>
        <v>71497.666267554057</v>
      </c>
      <c r="E8" s="57">
        <f>ROUND(D8/((1+Inputs!$B$3)^(A8-2016)),0)</f>
        <v>44525</v>
      </c>
    </row>
    <row r="9" spans="1:5" x14ac:dyDescent="0.25">
      <c r="A9" s="41">
        <v>2024</v>
      </c>
      <c r="B9" s="38">
        <f>'Reduced VMT'!Q14</f>
        <v>1163605.5844156276</v>
      </c>
      <c r="C9" s="47">
        <f>Inputs!$B$40</f>
        <v>6.213313794677415E-2</v>
      </c>
      <c r="D9" s="55">
        <f t="shared" si="0"/>
        <v>72298.466292132944</v>
      </c>
      <c r="E9" s="57">
        <f>ROUND(D9/((1+Inputs!$B$3)^(A9-2016)),0)</f>
        <v>42078</v>
      </c>
    </row>
    <row r="10" spans="1:5" x14ac:dyDescent="0.25">
      <c r="A10" s="41">
        <v>2025</v>
      </c>
      <c r="B10" s="38">
        <f>'Reduced VMT'!Q15</f>
        <v>1176638.3927469258</v>
      </c>
      <c r="C10" s="47">
        <f>Inputs!$B$40</f>
        <v>6.213313794677415E-2</v>
      </c>
      <c r="D10" s="55">
        <f t="shared" si="0"/>
        <v>73108.235570015357</v>
      </c>
      <c r="E10" s="57">
        <f>ROUND(D10/((1+Inputs!$B$3)^(A10-2016)),0)</f>
        <v>39766</v>
      </c>
    </row>
    <row r="11" spans="1:5" x14ac:dyDescent="0.25">
      <c r="A11" s="41">
        <v>2026</v>
      </c>
      <c r="B11" s="38">
        <f>'Reduced VMT'!Q16</f>
        <v>1189817.1733004921</v>
      </c>
      <c r="C11" s="47">
        <f>Inputs!$B$40</f>
        <v>6.213313794677415E-2</v>
      </c>
      <c r="D11" s="55">
        <f t="shared" si="0"/>
        <v>73927.074560120367</v>
      </c>
      <c r="E11" s="57">
        <f>ROUND(D11/((1+Inputs!$B$3)^(A11-2016)),0)</f>
        <v>37581</v>
      </c>
    </row>
    <row r="12" spans="1:5" x14ac:dyDescent="0.25">
      <c r="A12" s="41">
        <v>2027</v>
      </c>
      <c r="B12" s="38">
        <f>'Reduced VMT'!Q17</f>
        <v>1203143.5610186297</v>
      </c>
      <c r="C12" s="47">
        <f>Inputs!$B$40</f>
        <v>6.213313794677415E-2</v>
      </c>
      <c r="D12" s="55">
        <f t="shared" si="0"/>
        <v>74755.084846543599</v>
      </c>
      <c r="E12" s="57">
        <f>ROUND(D12/((1+Inputs!$B$3)^(A12-2016)),0)</f>
        <v>35516</v>
      </c>
    </row>
    <row r="13" spans="1:5" x14ac:dyDescent="0.25">
      <c r="A13" s="41">
        <v>2028</v>
      </c>
      <c r="B13" s="38">
        <f>'Reduced VMT'!Q18</f>
        <v>1216619.209155594</v>
      </c>
      <c r="C13" s="47">
        <f>Inputs!$B$40</f>
        <v>6.213313794677415E-2</v>
      </c>
      <c r="D13" s="55">
        <f t="shared" si="0"/>
        <v>75592.369151159801</v>
      </c>
      <c r="E13" s="57">
        <f>ROUND(D13/((1+Inputs!$B$3)^(A13-2016)),0)</f>
        <v>33564</v>
      </c>
    </row>
    <row r="14" spans="1:5" x14ac:dyDescent="0.25">
      <c r="A14" s="41">
        <v>2029</v>
      </c>
      <c r="B14" s="38">
        <f>'Reduced VMT'!Q19</f>
        <v>1230245.789482693</v>
      </c>
      <c r="C14" s="47">
        <f>Inputs!$B$40</f>
        <v>6.213313794677415E-2</v>
      </c>
      <c r="D14" s="55">
        <f t="shared" si="0"/>
        <v>76439.031346366231</v>
      </c>
      <c r="E14" s="57">
        <f>ROUND(D14/((1+Inputs!$B$3)^(A14-2016)),0)</f>
        <v>31719</v>
      </c>
    </row>
    <row r="15" spans="1:5" x14ac:dyDescent="0.25">
      <c r="A15" s="41">
        <v>2030</v>
      </c>
      <c r="B15" s="38">
        <f>'Reduced VMT'!Q20</f>
        <v>1244024.9924956858</v>
      </c>
      <c r="C15" s="47">
        <f>Inputs!$B$40</f>
        <v>6.213313794677415E-2</v>
      </c>
      <c r="D15" s="55">
        <f t="shared" si="0"/>
        <v>77295.176467969126</v>
      </c>
      <c r="E15" s="57">
        <f>ROUND(D15/((1+Inputs!$B$3)^(A15-2016)),0)</f>
        <v>29976</v>
      </c>
    </row>
    <row r="16" spans="1:5" x14ac:dyDescent="0.25">
      <c r="A16" s="41">
        <v>2031</v>
      </c>
      <c r="B16" s="38">
        <f>'Reduced VMT'!Q21</f>
        <v>1257958.5276245011</v>
      </c>
      <c r="C16" s="47">
        <f>Inputs!$B$40</f>
        <v>6.213313794677415E-2</v>
      </c>
      <c r="D16" s="55">
        <f t="shared" si="0"/>
        <v>78160.910728214032</v>
      </c>
      <c r="E16" s="57">
        <f>ROUND(D16/((1+Inputs!$B$3)^(A16-2016)),0)</f>
        <v>28329</v>
      </c>
    </row>
    <row r="17" spans="1:5" x14ac:dyDescent="0.25">
      <c r="A17" s="41">
        <v>2032</v>
      </c>
      <c r="B17" s="38">
        <f>'Reduced VMT'!Q22</f>
        <v>1272048.1234453102</v>
      </c>
      <c r="C17" s="47">
        <f>Inputs!$B$40</f>
        <v>6.213313794677415E-2</v>
      </c>
      <c r="D17" s="55">
        <f t="shared" si="0"/>
        <v>79036.341528962643</v>
      </c>
      <c r="E17" s="57">
        <f>ROUND(D17/((1+Inputs!$B$3)^(A17-2016)),0)</f>
        <v>26772</v>
      </c>
    </row>
    <row r="18" spans="1:5" x14ac:dyDescent="0.25">
      <c r="A18" s="41">
        <v>2033</v>
      </c>
      <c r="B18" s="38">
        <f>'Reduced VMT'!Q23</f>
        <v>1286295.5278949686</v>
      </c>
      <c r="C18" s="47">
        <f>Inputs!$B$40</f>
        <v>6.213313794677415E-2</v>
      </c>
      <c r="D18" s="55">
        <f t="shared" si="0"/>
        <v>79921.577475016762</v>
      </c>
      <c r="E18" s="57">
        <f>ROUND(D18/((1+Inputs!$B$3)^(A18-2016)),0)</f>
        <v>25301</v>
      </c>
    </row>
    <row r="19" spans="1:5" x14ac:dyDescent="0.25">
      <c r="A19" s="41">
        <v>2034</v>
      </c>
      <c r="B19" s="38">
        <f>'Reduced VMT'!Q24</f>
        <v>1300702.5084878644</v>
      </c>
      <c r="C19" s="47">
        <f>Inputs!$B$40</f>
        <v>6.213313794677415E-2</v>
      </c>
      <c r="D19" s="55">
        <f t="shared" si="0"/>
        <v>80816.728387591647</v>
      </c>
      <c r="E19" s="57">
        <f>ROUND(D19/((1+Inputs!$B$3)^(A19-2016)),0)</f>
        <v>23911</v>
      </c>
    </row>
    <row r="20" spans="1:5" x14ac:dyDescent="0.25">
      <c r="A20" s="41">
        <v>2035</v>
      </c>
      <c r="B20" s="38">
        <f>'Reduced VMT'!Q25</f>
        <v>1315270.8525351945</v>
      </c>
      <c r="C20" s="47">
        <f>Inputs!$B$40</f>
        <v>6.213313794677415E-2</v>
      </c>
      <c r="D20" s="55">
        <f t="shared" si="0"/>
        <v>81721.905317940473</v>
      </c>
      <c r="E20" s="57">
        <f>ROUND(D20/((1+Inputs!$B$3)^(A20-2016)),0)</f>
        <v>22597</v>
      </c>
    </row>
    <row r="21" spans="1:5" x14ac:dyDescent="0.25">
      <c r="A21" s="41">
        <v>2036</v>
      </c>
      <c r="B21" s="38">
        <f>'Reduced VMT'!Q26</f>
        <v>1330002.3673666944</v>
      </c>
      <c r="C21" s="47">
        <f>Inputs!$B$40</f>
        <v>6.213313794677415E-2</v>
      </c>
      <c r="D21" s="55">
        <f t="shared" si="0"/>
        <v>82637.220561131006</v>
      </c>
      <c r="E21" s="57">
        <f>ROUND(D21/((1+Inputs!$B$3)^(A21-2016)),0)</f>
        <v>21355</v>
      </c>
    </row>
    <row r="22" spans="1:5" x14ac:dyDescent="0.25">
      <c r="A22" s="41">
        <v>2037</v>
      </c>
      <c r="B22" s="38">
        <f>'Reduced VMT'!Q27</f>
        <v>1344898.8805548535</v>
      </c>
      <c r="C22" s="47">
        <f>Inputs!$B$40</f>
        <v>6.213313794677415E-2</v>
      </c>
      <c r="D22" s="55">
        <f t="shared" si="0"/>
        <v>83562.787669976839</v>
      </c>
      <c r="E22" s="57">
        <f>ROUND(D22/((1+Inputs!$B$3)^(A22-2016)),0)</f>
        <v>20182</v>
      </c>
    </row>
    <row r="23" spans="1:5" x14ac:dyDescent="0.25">
      <c r="A23" s="41">
        <v>2038</v>
      </c>
      <c r="B23" s="38">
        <f>'Reduced VMT'!Q28</f>
        <v>1359962.2401416434</v>
      </c>
      <c r="C23" s="47">
        <f>Inputs!$B$40</f>
        <v>6.213313794677415E-2</v>
      </c>
      <c r="D23" s="55">
        <f t="shared" si="0"/>
        <v>84498.721469124721</v>
      </c>
      <c r="E23" s="57">
        <f>ROUND(D23/((1+Inputs!$B$3)^(A23-2016)),0)</f>
        <v>19072</v>
      </c>
    </row>
    <row r="24" spans="1:5" x14ac:dyDescent="0.25">
      <c r="A24" s="41">
        <v>2039</v>
      </c>
      <c r="B24" s="38">
        <f>'Reduced VMT'!Q29</f>
        <v>1375194.3148677801</v>
      </c>
      <c r="C24" s="47">
        <f>Inputs!$B$40</f>
        <v>6.213313794677415E-2</v>
      </c>
      <c r="D24" s="55">
        <f t="shared" si="0"/>
        <v>85445.138069299341</v>
      </c>
      <c r="E24" s="57">
        <f>ROUND(D24/((1+Inputs!$B$3)^(A24-2016)),0)</f>
        <v>18024</v>
      </c>
    </row>
    <row r="25" spans="1:5" x14ac:dyDescent="0.25">
      <c r="A25" s="41">
        <v>2040</v>
      </c>
      <c r="B25" s="38">
        <f>'Reduced VMT'!Q30</f>
        <v>1390596.9944045618</v>
      </c>
      <c r="C25" s="47">
        <f>Inputs!$B$40</f>
        <v>6.213313794677415E-2</v>
      </c>
      <c r="D25" s="55">
        <f t="shared" si="0"/>
        <v>86402.154881708164</v>
      </c>
      <c r="E25" s="57">
        <f>ROUND(D25/((1+Inputs!$B$3)^(A25-2016)),0)</f>
        <v>17034</v>
      </c>
    </row>
    <row r="26" spans="1:5" x14ac:dyDescent="0.25">
      <c r="A26" s="41">
        <v>2041</v>
      </c>
      <c r="B26" s="38">
        <f>'Reduced VMT'!Q31</f>
        <v>1406172.1895882937</v>
      </c>
      <c r="C26" s="47">
        <f>Inputs!$B$40</f>
        <v>6.213313794677415E-2</v>
      </c>
      <c r="D26" s="55">
        <f t="shared" si="0"/>
        <v>87369.890632606897</v>
      </c>
      <c r="E26" s="57">
        <f>ROUND(D26/((1+Inputs!$B$3)^(A26-2016)),0)</f>
        <v>16098</v>
      </c>
    </row>
    <row r="27" spans="1:5" x14ac:dyDescent="0.25">
      <c r="A27" s="41">
        <v>2042</v>
      </c>
      <c r="B27" s="38">
        <f>'Reduced VMT'!Q32</f>
        <v>1421921.8326573493</v>
      </c>
      <c r="C27" s="47">
        <f>Inputs!$B$40</f>
        <v>6.213313794677415E-2</v>
      </c>
      <c r="D27" s="55">
        <f t="shared" si="0"/>
        <v>88348.465378028995</v>
      </c>
      <c r="E27" s="57">
        <f>ROUND(D27/((1+Inputs!$B$3)^(A27-2016)),0)</f>
        <v>15213</v>
      </c>
    </row>
    <row r="28" spans="1:5" x14ac:dyDescent="0.25">
      <c r="A28" s="41">
        <v>2043</v>
      </c>
      <c r="B28" s="38">
        <f>'Reduced VMT'!Q33</f>
        <v>1437847.8774918788</v>
      </c>
      <c r="C28" s="47">
        <f>Inputs!$B$40</f>
        <v>6.213313794677415E-2</v>
      </c>
      <c r="D28" s="55">
        <f t="shared" si="0"/>
        <v>89338.000518679328</v>
      </c>
      <c r="E28" s="57">
        <f>ROUND(D28/((1+Inputs!$B$3)^(A28-2016)),0)</f>
        <v>14377</v>
      </c>
    </row>
    <row r="29" spans="1:5" x14ac:dyDescent="0.25">
      <c r="A29" s="41">
        <v>2044</v>
      </c>
      <c r="B29" s="38">
        <f>'Reduced VMT'!Q34</f>
        <v>1453952.2998562029</v>
      </c>
      <c r="C29" s="47">
        <f>Inputs!$B$40</f>
        <v>6.213313794677415E-2</v>
      </c>
      <c r="D29" s="55">
        <f t="shared" si="0"/>
        <v>90338.618814994988</v>
      </c>
      <c r="E29" s="57">
        <f>ROUND(D29/((1+Inputs!$B$3)^(A29-2016)),0)</f>
        <v>13587</v>
      </c>
    </row>
    <row r="30" spans="1:5" x14ac:dyDescent="0.25">
      <c r="A30" s="41">
        <v>2045</v>
      </c>
      <c r="B30" s="38">
        <f>'Reduced VMT'!Q35</f>
        <v>1470237.0976439284</v>
      </c>
      <c r="C30" s="47">
        <f>Inputs!$B$40</f>
        <v>6.213313794677415E-2</v>
      </c>
      <c r="D30" s="55">
        <f t="shared" si="0"/>
        <v>91350.444402375055</v>
      </c>
      <c r="E30" s="57">
        <f>ROUND(D30/((1+Inputs!$B$3)^(A30-2016)),0)</f>
        <v>12840</v>
      </c>
    </row>
    <row r="31" spans="1:5" x14ac:dyDescent="0.25">
      <c r="A31" s="41">
        <v>2046</v>
      </c>
      <c r="B31" s="38">
        <f>'Reduced VMT'!Q36</f>
        <v>1486704.2911257991</v>
      </c>
      <c r="C31" s="47">
        <f>Inputs!$B$40</f>
        <v>6.213313794677415E-2</v>
      </c>
      <c r="D31" s="55">
        <f t="shared" si="0"/>
        <v>92373.602806580355</v>
      </c>
      <c r="E31" s="57">
        <f>ROUND(D31/((1+Inputs!$B$3)^(A31-2016)),0)</f>
        <v>12135</v>
      </c>
    </row>
    <row r="32" spans="1:5" x14ac:dyDescent="0.25">
      <c r="A32" s="41">
        <v>2047</v>
      </c>
      <c r="B32" s="38">
        <f>'Reduced VMT'!Q37</f>
        <v>1503355.9232003326</v>
      </c>
      <c r="C32" s="47">
        <f>Inputs!$B$40</f>
        <v>6.213313794677415E-2</v>
      </c>
      <c r="D32" s="55">
        <f t="shared" si="0"/>
        <v>93408.220959306273</v>
      </c>
      <c r="E32" s="57">
        <f>ROUND(D32/((1+Inputs!$B$3)^(A32-2016)),0)</f>
        <v>11468</v>
      </c>
    </row>
    <row r="33" spans="1:5" s="4" customFormat="1" x14ac:dyDescent="0.25">
      <c r="A33" s="41">
        <v>2048</v>
      </c>
      <c r="B33" s="38">
        <f>'Reduced VMT'!Q38</f>
        <v>1520194.0596472556</v>
      </c>
      <c r="C33" s="47">
        <f>Inputs!$B$40</f>
        <v>6.213313794677415E-2</v>
      </c>
      <c r="D33" s="55">
        <f t="shared" ref="D33:D34" si="1">B33*C33</f>
        <v>94454.427213929535</v>
      </c>
      <c r="E33" s="57">
        <f>ROUND(D33/((1+Inputs!$B$3)^(A33-2016)),0)</f>
        <v>10838</v>
      </c>
    </row>
    <row r="34" spans="1:5" s="4" customFormat="1" ht="15.75" thickBot="1" x14ac:dyDescent="0.3">
      <c r="A34" s="41">
        <v>2049</v>
      </c>
      <c r="B34" s="38">
        <f>'Reduced VMT'!Q39</f>
        <v>1537220.7893837853</v>
      </c>
      <c r="C34" s="47">
        <f>Inputs!$B$40</f>
        <v>6.213313794677415E-2</v>
      </c>
      <c r="D34" s="55">
        <f t="shared" si="1"/>
        <v>95512.351361431793</v>
      </c>
      <c r="E34" s="57">
        <f>ROUND(D34/((1+Inputs!$B$3)^(A34-2016)),0)</f>
        <v>10242</v>
      </c>
    </row>
    <row r="35" spans="1:5" ht="15.75" thickBot="1" x14ac:dyDescent="0.3">
      <c r="A35" s="52" t="s">
        <v>165</v>
      </c>
      <c r="B35" s="116">
        <f>SUM(B3:B34)</f>
        <v>39421588.884860449</v>
      </c>
      <c r="C35" s="119"/>
      <c r="D35" s="120">
        <f>SUM(D3:D34)</f>
        <v>2449387.0202640533</v>
      </c>
      <c r="E35" s="121">
        <f>SUM(E3:E34)</f>
        <v>783821</v>
      </c>
    </row>
    <row r="37" spans="1:5" ht="15.75" thickBot="1" x14ac:dyDescent="0.3"/>
    <row r="38" spans="1:5" ht="60" x14ac:dyDescent="0.25">
      <c r="A38" s="603" t="s">
        <v>132</v>
      </c>
      <c r="B38" s="404" t="s">
        <v>200</v>
      </c>
      <c r="C38" s="53" t="s">
        <v>215</v>
      </c>
      <c r="D38" s="54" t="s">
        <v>238</v>
      </c>
      <c r="E38" s="56" t="s">
        <v>225</v>
      </c>
    </row>
    <row r="39" spans="1:5" x14ac:dyDescent="0.25">
      <c r="A39" s="41">
        <v>2018</v>
      </c>
      <c r="B39" s="38">
        <f>ROUND(B3,-3)</f>
        <v>0</v>
      </c>
      <c r="C39" s="47">
        <f>C3</f>
        <v>6.213313794677415E-2</v>
      </c>
      <c r="D39" s="55">
        <f t="shared" ref="D39:E39" si="2">ROUND(D3,-3)</f>
        <v>0</v>
      </c>
      <c r="E39" s="57">
        <f t="shared" si="2"/>
        <v>0</v>
      </c>
    </row>
    <row r="40" spans="1:5" x14ac:dyDescent="0.25">
      <c r="A40" s="41">
        <v>2019</v>
      </c>
      <c r="B40" s="38">
        <f t="shared" ref="B40:B71" si="3">ROUND(B4,-3)</f>
        <v>0</v>
      </c>
      <c r="C40" s="47">
        <f t="shared" ref="C40:C70" si="4">C4</f>
        <v>6.213313794677415E-2</v>
      </c>
      <c r="D40" s="55">
        <f t="shared" ref="D40:E40" si="5">ROUND(D4,-3)</f>
        <v>0</v>
      </c>
      <c r="E40" s="57">
        <f t="shared" si="5"/>
        <v>0</v>
      </c>
    </row>
    <row r="41" spans="1:5" x14ac:dyDescent="0.25">
      <c r="A41" s="41">
        <v>2020</v>
      </c>
      <c r="B41" s="38">
        <f t="shared" si="3"/>
        <v>1113000</v>
      </c>
      <c r="C41" s="47">
        <f t="shared" si="4"/>
        <v>6.213313794677415E-2</v>
      </c>
      <c r="D41" s="55">
        <f t="shared" ref="D41:E41" si="6">ROUND(D5,-3)</f>
        <v>69000</v>
      </c>
      <c r="E41" s="57">
        <f t="shared" si="6"/>
        <v>53000</v>
      </c>
    </row>
    <row r="42" spans="1:5" x14ac:dyDescent="0.25">
      <c r="A42" s="41">
        <v>2021</v>
      </c>
      <c r="B42" s="38">
        <f t="shared" si="3"/>
        <v>1125000</v>
      </c>
      <c r="C42" s="47">
        <f t="shared" si="4"/>
        <v>6.213313794677415E-2</v>
      </c>
      <c r="D42" s="55">
        <f t="shared" ref="D42:E42" si="7">ROUND(D6,-3)</f>
        <v>70000</v>
      </c>
      <c r="E42" s="57">
        <f t="shared" si="7"/>
        <v>50000</v>
      </c>
    </row>
    <row r="43" spans="1:5" x14ac:dyDescent="0.25">
      <c r="A43" s="41">
        <v>2022</v>
      </c>
      <c r="B43" s="38">
        <f t="shared" si="3"/>
        <v>1138000</v>
      </c>
      <c r="C43" s="47">
        <f t="shared" si="4"/>
        <v>6.213313794677415E-2</v>
      </c>
      <c r="D43" s="55">
        <f t="shared" ref="D43:E43" si="8">ROUND(D7,-3)</f>
        <v>71000</v>
      </c>
      <c r="E43" s="57">
        <f t="shared" si="8"/>
        <v>47000</v>
      </c>
    </row>
    <row r="44" spans="1:5" x14ac:dyDescent="0.25">
      <c r="A44" s="41">
        <v>2023</v>
      </c>
      <c r="B44" s="38">
        <f t="shared" si="3"/>
        <v>1151000</v>
      </c>
      <c r="C44" s="47">
        <f t="shared" si="4"/>
        <v>6.213313794677415E-2</v>
      </c>
      <c r="D44" s="55">
        <f t="shared" ref="D44:E44" si="9">ROUND(D8,-3)</f>
        <v>71000</v>
      </c>
      <c r="E44" s="57">
        <f t="shared" si="9"/>
        <v>45000</v>
      </c>
    </row>
    <row r="45" spans="1:5" x14ac:dyDescent="0.25">
      <c r="A45" s="41">
        <v>2024</v>
      </c>
      <c r="B45" s="38">
        <f t="shared" si="3"/>
        <v>1164000</v>
      </c>
      <c r="C45" s="47">
        <f t="shared" si="4"/>
        <v>6.213313794677415E-2</v>
      </c>
      <c r="D45" s="55">
        <f t="shared" ref="D45:E45" si="10">ROUND(D9,-3)</f>
        <v>72000</v>
      </c>
      <c r="E45" s="57">
        <f t="shared" si="10"/>
        <v>42000</v>
      </c>
    </row>
    <row r="46" spans="1:5" x14ac:dyDescent="0.25">
      <c r="A46" s="41">
        <v>2025</v>
      </c>
      <c r="B46" s="38">
        <f t="shared" si="3"/>
        <v>1177000</v>
      </c>
      <c r="C46" s="47">
        <f t="shared" si="4"/>
        <v>6.213313794677415E-2</v>
      </c>
      <c r="D46" s="55">
        <f t="shared" ref="D46:E46" si="11">ROUND(D10,-3)</f>
        <v>73000</v>
      </c>
      <c r="E46" s="57">
        <f t="shared" si="11"/>
        <v>40000</v>
      </c>
    </row>
    <row r="47" spans="1:5" x14ac:dyDescent="0.25">
      <c r="A47" s="41">
        <v>2026</v>
      </c>
      <c r="B47" s="38">
        <f t="shared" si="3"/>
        <v>1190000</v>
      </c>
      <c r="C47" s="47">
        <f t="shared" si="4"/>
        <v>6.213313794677415E-2</v>
      </c>
      <c r="D47" s="55">
        <f t="shared" ref="D47:E47" si="12">ROUND(D11,-3)</f>
        <v>74000</v>
      </c>
      <c r="E47" s="57">
        <f t="shared" si="12"/>
        <v>38000</v>
      </c>
    </row>
    <row r="48" spans="1:5" x14ac:dyDescent="0.25">
      <c r="A48" s="41">
        <v>2027</v>
      </c>
      <c r="B48" s="38">
        <f t="shared" si="3"/>
        <v>1203000</v>
      </c>
      <c r="C48" s="47">
        <f t="shared" si="4"/>
        <v>6.213313794677415E-2</v>
      </c>
      <c r="D48" s="55">
        <f t="shared" ref="D48:E48" si="13">ROUND(D12,-3)</f>
        <v>75000</v>
      </c>
      <c r="E48" s="57">
        <f t="shared" si="13"/>
        <v>36000</v>
      </c>
    </row>
    <row r="49" spans="1:5" x14ac:dyDescent="0.25">
      <c r="A49" s="41">
        <v>2028</v>
      </c>
      <c r="B49" s="38">
        <f t="shared" si="3"/>
        <v>1217000</v>
      </c>
      <c r="C49" s="47">
        <f t="shared" si="4"/>
        <v>6.213313794677415E-2</v>
      </c>
      <c r="D49" s="55">
        <f t="shared" ref="D49:E49" si="14">ROUND(D13,-3)</f>
        <v>76000</v>
      </c>
      <c r="E49" s="57">
        <f t="shared" si="14"/>
        <v>34000</v>
      </c>
    </row>
    <row r="50" spans="1:5" x14ac:dyDescent="0.25">
      <c r="A50" s="41">
        <v>2029</v>
      </c>
      <c r="B50" s="38">
        <f t="shared" si="3"/>
        <v>1230000</v>
      </c>
      <c r="C50" s="47">
        <f t="shared" si="4"/>
        <v>6.213313794677415E-2</v>
      </c>
      <c r="D50" s="55">
        <f t="shared" ref="D50:E50" si="15">ROUND(D14,-3)</f>
        <v>76000</v>
      </c>
      <c r="E50" s="57">
        <f t="shared" si="15"/>
        <v>32000</v>
      </c>
    </row>
    <row r="51" spans="1:5" x14ac:dyDescent="0.25">
      <c r="A51" s="41">
        <v>2030</v>
      </c>
      <c r="B51" s="38">
        <f t="shared" si="3"/>
        <v>1244000</v>
      </c>
      <c r="C51" s="47">
        <f t="shared" si="4"/>
        <v>6.213313794677415E-2</v>
      </c>
      <c r="D51" s="55">
        <f t="shared" ref="D51:E51" si="16">ROUND(D15,-3)</f>
        <v>77000</v>
      </c>
      <c r="E51" s="57">
        <f t="shared" si="16"/>
        <v>30000</v>
      </c>
    </row>
    <row r="52" spans="1:5" x14ac:dyDescent="0.25">
      <c r="A52" s="41">
        <v>2031</v>
      </c>
      <c r="B52" s="38">
        <f t="shared" si="3"/>
        <v>1258000</v>
      </c>
      <c r="C52" s="47">
        <f t="shared" si="4"/>
        <v>6.213313794677415E-2</v>
      </c>
      <c r="D52" s="55">
        <f t="shared" ref="D52:E52" si="17">ROUND(D16,-3)</f>
        <v>78000</v>
      </c>
      <c r="E52" s="57">
        <f t="shared" si="17"/>
        <v>28000</v>
      </c>
    </row>
    <row r="53" spans="1:5" x14ac:dyDescent="0.25">
      <c r="A53" s="41">
        <v>2032</v>
      </c>
      <c r="B53" s="38">
        <f t="shared" si="3"/>
        <v>1272000</v>
      </c>
      <c r="C53" s="47">
        <f t="shared" si="4"/>
        <v>6.213313794677415E-2</v>
      </c>
      <c r="D53" s="55">
        <f t="shared" ref="D53:E53" si="18">ROUND(D17,-3)</f>
        <v>79000</v>
      </c>
      <c r="E53" s="57">
        <f t="shared" si="18"/>
        <v>27000</v>
      </c>
    </row>
    <row r="54" spans="1:5" x14ac:dyDescent="0.25">
      <c r="A54" s="41">
        <v>2033</v>
      </c>
      <c r="B54" s="38">
        <f t="shared" si="3"/>
        <v>1286000</v>
      </c>
      <c r="C54" s="47">
        <f t="shared" si="4"/>
        <v>6.213313794677415E-2</v>
      </c>
      <c r="D54" s="55">
        <f t="shared" ref="D54:E54" si="19">ROUND(D18,-3)</f>
        <v>80000</v>
      </c>
      <c r="E54" s="57">
        <f t="shared" si="19"/>
        <v>25000</v>
      </c>
    </row>
    <row r="55" spans="1:5" x14ac:dyDescent="0.25">
      <c r="A55" s="41">
        <v>2034</v>
      </c>
      <c r="B55" s="38">
        <f t="shared" si="3"/>
        <v>1301000</v>
      </c>
      <c r="C55" s="47">
        <f t="shared" si="4"/>
        <v>6.213313794677415E-2</v>
      </c>
      <c r="D55" s="55">
        <f t="shared" ref="D55:E55" si="20">ROUND(D19,-3)</f>
        <v>81000</v>
      </c>
      <c r="E55" s="57">
        <f t="shared" si="20"/>
        <v>24000</v>
      </c>
    </row>
    <row r="56" spans="1:5" x14ac:dyDescent="0.25">
      <c r="A56" s="41">
        <v>2035</v>
      </c>
      <c r="B56" s="38">
        <f t="shared" si="3"/>
        <v>1315000</v>
      </c>
      <c r="C56" s="47">
        <f t="shared" si="4"/>
        <v>6.213313794677415E-2</v>
      </c>
      <c r="D56" s="55">
        <f t="shared" ref="D56:E56" si="21">ROUND(D20,-3)</f>
        <v>82000</v>
      </c>
      <c r="E56" s="57">
        <f t="shared" si="21"/>
        <v>23000</v>
      </c>
    </row>
    <row r="57" spans="1:5" x14ac:dyDescent="0.25">
      <c r="A57" s="41">
        <v>2036</v>
      </c>
      <c r="B57" s="38">
        <f t="shared" si="3"/>
        <v>1330000</v>
      </c>
      <c r="C57" s="47">
        <f t="shared" si="4"/>
        <v>6.213313794677415E-2</v>
      </c>
      <c r="D57" s="55">
        <f t="shared" ref="D57:E57" si="22">ROUND(D21,-3)</f>
        <v>83000</v>
      </c>
      <c r="E57" s="57">
        <f t="shared" si="22"/>
        <v>21000</v>
      </c>
    </row>
    <row r="58" spans="1:5" x14ac:dyDescent="0.25">
      <c r="A58" s="41">
        <v>2037</v>
      </c>
      <c r="B58" s="38">
        <f t="shared" si="3"/>
        <v>1345000</v>
      </c>
      <c r="C58" s="47">
        <f t="shared" si="4"/>
        <v>6.213313794677415E-2</v>
      </c>
      <c r="D58" s="55">
        <f t="shared" ref="D58:E58" si="23">ROUND(D22,-3)</f>
        <v>84000</v>
      </c>
      <c r="E58" s="57">
        <f t="shared" si="23"/>
        <v>20000</v>
      </c>
    </row>
    <row r="59" spans="1:5" x14ac:dyDescent="0.25">
      <c r="A59" s="41">
        <v>2038</v>
      </c>
      <c r="B59" s="38">
        <f t="shared" si="3"/>
        <v>1360000</v>
      </c>
      <c r="C59" s="47">
        <f t="shared" si="4"/>
        <v>6.213313794677415E-2</v>
      </c>
      <c r="D59" s="55">
        <f t="shared" ref="D59:E59" si="24">ROUND(D23,-3)</f>
        <v>84000</v>
      </c>
      <c r="E59" s="57">
        <f t="shared" si="24"/>
        <v>19000</v>
      </c>
    </row>
    <row r="60" spans="1:5" x14ac:dyDescent="0.25">
      <c r="A60" s="41">
        <v>2039</v>
      </c>
      <c r="B60" s="38">
        <f t="shared" si="3"/>
        <v>1375000</v>
      </c>
      <c r="C60" s="47">
        <f t="shared" si="4"/>
        <v>6.213313794677415E-2</v>
      </c>
      <c r="D60" s="55">
        <f t="shared" ref="D60:E60" si="25">ROUND(D24,-3)</f>
        <v>85000</v>
      </c>
      <c r="E60" s="57">
        <f t="shared" si="25"/>
        <v>18000</v>
      </c>
    </row>
    <row r="61" spans="1:5" x14ac:dyDescent="0.25">
      <c r="A61" s="41">
        <v>2040</v>
      </c>
      <c r="B61" s="38">
        <f t="shared" si="3"/>
        <v>1391000</v>
      </c>
      <c r="C61" s="47">
        <f t="shared" si="4"/>
        <v>6.213313794677415E-2</v>
      </c>
      <c r="D61" s="55">
        <f t="shared" ref="D61:E61" si="26">ROUND(D25,-3)</f>
        <v>86000</v>
      </c>
      <c r="E61" s="57">
        <f t="shared" si="26"/>
        <v>17000</v>
      </c>
    </row>
    <row r="62" spans="1:5" x14ac:dyDescent="0.25">
      <c r="A62" s="41">
        <v>2041</v>
      </c>
      <c r="B62" s="38">
        <f t="shared" si="3"/>
        <v>1406000</v>
      </c>
      <c r="C62" s="47">
        <f t="shared" si="4"/>
        <v>6.213313794677415E-2</v>
      </c>
      <c r="D62" s="55">
        <f t="shared" ref="D62:E62" si="27">ROUND(D26,-3)</f>
        <v>87000</v>
      </c>
      <c r="E62" s="57">
        <f t="shared" si="27"/>
        <v>16000</v>
      </c>
    </row>
    <row r="63" spans="1:5" x14ac:dyDescent="0.25">
      <c r="A63" s="41">
        <v>2042</v>
      </c>
      <c r="B63" s="38">
        <f t="shared" si="3"/>
        <v>1422000</v>
      </c>
      <c r="C63" s="47">
        <f t="shared" si="4"/>
        <v>6.213313794677415E-2</v>
      </c>
      <c r="D63" s="55">
        <f t="shared" ref="D63:E63" si="28">ROUND(D27,-3)</f>
        <v>88000</v>
      </c>
      <c r="E63" s="57">
        <f t="shared" si="28"/>
        <v>15000</v>
      </c>
    </row>
    <row r="64" spans="1:5" x14ac:dyDescent="0.25">
      <c r="A64" s="41">
        <v>2043</v>
      </c>
      <c r="B64" s="38">
        <f t="shared" si="3"/>
        <v>1438000</v>
      </c>
      <c r="C64" s="47">
        <f t="shared" si="4"/>
        <v>6.213313794677415E-2</v>
      </c>
      <c r="D64" s="55">
        <f t="shared" ref="D64:E64" si="29">ROUND(D28,-3)</f>
        <v>89000</v>
      </c>
      <c r="E64" s="57">
        <f t="shared" si="29"/>
        <v>14000</v>
      </c>
    </row>
    <row r="65" spans="1:5" x14ac:dyDescent="0.25">
      <c r="A65" s="41">
        <v>2044</v>
      </c>
      <c r="B65" s="38">
        <f t="shared" si="3"/>
        <v>1454000</v>
      </c>
      <c r="C65" s="47">
        <f t="shared" si="4"/>
        <v>6.213313794677415E-2</v>
      </c>
      <c r="D65" s="55">
        <f t="shared" ref="D65:E65" si="30">ROUND(D29,-3)</f>
        <v>90000</v>
      </c>
      <c r="E65" s="57">
        <f t="shared" si="30"/>
        <v>14000</v>
      </c>
    </row>
    <row r="66" spans="1:5" x14ac:dyDescent="0.25">
      <c r="A66" s="41">
        <v>2045</v>
      </c>
      <c r="B66" s="38">
        <f t="shared" si="3"/>
        <v>1470000</v>
      </c>
      <c r="C66" s="47">
        <f t="shared" si="4"/>
        <v>6.213313794677415E-2</v>
      </c>
      <c r="D66" s="55">
        <f t="shared" ref="D66:E66" si="31">ROUND(D30,-3)</f>
        <v>91000</v>
      </c>
      <c r="E66" s="57">
        <f t="shared" si="31"/>
        <v>13000</v>
      </c>
    </row>
    <row r="67" spans="1:5" x14ac:dyDescent="0.25">
      <c r="A67" s="41">
        <v>2046</v>
      </c>
      <c r="B67" s="38">
        <f t="shared" si="3"/>
        <v>1487000</v>
      </c>
      <c r="C67" s="47">
        <f t="shared" si="4"/>
        <v>6.213313794677415E-2</v>
      </c>
      <c r="D67" s="55">
        <f t="shared" ref="D67:E67" si="32">ROUND(D31,-3)</f>
        <v>92000</v>
      </c>
      <c r="E67" s="57">
        <f t="shared" si="32"/>
        <v>12000</v>
      </c>
    </row>
    <row r="68" spans="1:5" x14ac:dyDescent="0.25">
      <c r="A68" s="41">
        <v>2047</v>
      </c>
      <c r="B68" s="38">
        <f t="shared" si="3"/>
        <v>1503000</v>
      </c>
      <c r="C68" s="47">
        <f t="shared" si="4"/>
        <v>6.213313794677415E-2</v>
      </c>
      <c r="D68" s="55">
        <f t="shared" ref="D68:E68" si="33">ROUND(D32,-3)</f>
        <v>93000</v>
      </c>
      <c r="E68" s="57">
        <f t="shared" si="33"/>
        <v>11000</v>
      </c>
    </row>
    <row r="69" spans="1:5" x14ac:dyDescent="0.25">
      <c r="A69" s="41">
        <v>2048</v>
      </c>
      <c r="B69" s="38">
        <f t="shared" si="3"/>
        <v>1520000</v>
      </c>
      <c r="C69" s="47">
        <f t="shared" si="4"/>
        <v>6.213313794677415E-2</v>
      </c>
      <c r="D69" s="55">
        <f t="shared" ref="D69:E69" si="34">ROUND(D33,-3)</f>
        <v>94000</v>
      </c>
      <c r="E69" s="57">
        <f t="shared" si="34"/>
        <v>11000</v>
      </c>
    </row>
    <row r="70" spans="1:5" ht="15.75" thickBot="1" x14ac:dyDescent="0.3">
      <c r="A70" s="41">
        <v>2049</v>
      </c>
      <c r="B70" s="38">
        <f t="shared" si="3"/>
        <v>1537000</v>
      </c>
      <c r="C70" s="47">
        <f t="shared" si="4"/>
        <v>6.213313794677415E-2</v>
      </c>
      <c r="D70" s="55">
        <f t="shared" ref="D70:E70" si="35">ROUND(D34,-3)</f>
        <v>96000</v>
      </c>
      <c r="E70" s="57">
        <f t="shared" si="35"/>
        <v>10000</v>
      </c>
    </row>
    <row r="71" spans="1:5" ht="15.75" thickBot="1" x14ac:dyDescent="0.3">
      <c r="A71" s="52" t="s">
        <v>165</v>
      </c>
      <c r="B71" s="116">
        <f t="shared" si="3"/>
        <v>39422000</v>
      </c>
      <c r="C71" s="119"/>
      <c r="D71" s="120">
        <f t="shared" ref="D71:E71" si="36">ROUND(D35,-3)</f>
        <v>2449000</v>
      </c>
      <c r="E71" s="121">
        <f t="shared" si="36"/>
        <v>784000</v>
      </c>
    </row>
  </sheetData>
  <sheetProtection password="891C"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1"/>
  <sheetViews>
    <sheetView topLeftCell="A30" zoomScale="80" zoomScaleNormal="80" workbookViewId="0">
      <selection activeCell="E39" sqref="E39:F71"/>
    </sheetView>
  </sheetViews>
  <sheetFormatPr defaultRowHeight="15" x14ac:dyDescent="0.25"/>
  <cols>
    <col min="1" max="1" width="9.140625" style="2"/>
    <col min="2" max="4" width="13.7109375" style="6" customWidth="1"/>
    <col min="5" max="5" width="13.7109375" style="28" customWidth="1"/>
    <col min="6" max="6" width="13.7109375" style="2" customWidth="1"/>
    <col min="7" max="16384" width="9.140625" style="2"/>
  </cols>
  <sheetData>
    <row r="2" spans="1:6" ht="15.75" thickBot="1" x14ac:dyDescent="0.3"/>
    <row r="3" spans="1:6" s="7" customFormat="1" ht="60" x14ac:dyDescent="0.25">
      <c r="A3" s="51" t="s">
        <v>132</v>
      </c>
      <c r="B3" s="114" t="s">
        <v>200</v>
      </c>
      <c r="C3" s="114" t="s">
        <v>228</v>
      </c>
      <c r="D3" s="114" t="s">
        <v>229</v>
      </c>
      <c r="E3" s="162" t="s">
        <v>252</v>
      </c>
      <c r="F3" s="56" t="s">
        <v>253</v>
      </c>
    </row>
    <row r="4" spans="1:6" x14ac:dyDescent="0.25">
      <c r="A4" s="41">
        <v>2018</v>
      </c>
      <c r="B4" s="38">
        <f>'Reduced VMT'!Q8</f>
        <v>0</v>
      </c>
      <c r="C4" s="61">
        <f>Inputs!$B$135</f>
        <v>4.1489999999999999E-2</v>
      </c>
      <c r="D4" s="38">
        <f>C4*B4</f>
        <v>0</v>
      </c>
      <c r="E4" s="55">
        <f>D4*Inputs!$B$136</f>
        <v>0</v>
      </c>
      <c r="F4" s="57">
        <f>ROUND(E4/((1+Inputs!$B$3)^(A4-2016)),0)</f>
        <v>0</v>
      </c>
    </row>
    <row r="5" spans="1:6" x14ac:dyDescent="0.25">
      <c r="A5" s="41">
        <v>2019</v>
      </c>
      <c r="B5" s="38">
        <f>'Reduced VMT'!Q9</f>
        <v>0</v>
      </c>
      <c r="C5" s="61">
        <f>Inputs!$B$135</f>
        <v>4.1489999999999999E-2</v>
      </c>
      <c r="D5" s="38">
        <f t="shared" ref="D5:D33" si="0">C5*B5</f>
        <v>0</v>
      </c>
      <c r="E5" s="55">
        <f>D5*Inputs!$B$136</f>
        <v>0</v>
      </c>
      <c r="F5" s="57">
        <f>ROUND(E5/((1+Inputs!$B$3)^(A5-2016)),0)</f>
        <v>0</v>
      </c>
    </row>
    <row r="6" spans="1:6" x14ac:dyDescent="0.25">
      <c r="A6" s="41">
        <v>2020</v>
      </c>
      <c r="B6" s="38">
        <f>'Reduced VMT'!Q10</f>
        <v>1112902.0040896575</v>
      </c>
      <c r="C6" s="61">
        <f>Inputs!$B$135</f>
        <v>4.1489999999999999E-2</v>
      </c>
      <c r="D6" s="38">
        <f t="shared" si="0"/>
        <v>46174.304149679883</v>
      </c>
      <c r="E6" s="55">
        <f>D6*Inputs!$B$136</f>
        <v>85006.893939560658</v>
      </c>
      <c r="F6" s="57">
        <f>ROUND(E6/((1+Inputs!$B$3)^(A6-2016)),0)</f>
        <v>64851</v>
      </c>
    </row>
    <row r="7" spans="1:6" x14ac:dyDescent="0.25">
      <c r="A7" s="41">
        <v>2021</v>
      </c>
      <c r="B7" s="38">
        <f>'Reduced VMT'!Q11</f>
        <v>1125366.9137678817</v>
      </c>
      <c r="C7" s="61">
        <f>Inputs!$B$135</f>
        <v>4.1489999999999999E-2</v>
      </c>
      <c r="D7" s="38">
        <f t="shared" si="0"/>
        <v>46691.473252229407</v>
      </c>
      <c r="E7" s="55">
        <f>D7*Inputs!$B$136</f>
        <v>85959.002257354339</v>
      </c>
      <c r="F7" s="57">
        <f>ROUND(E7/((1+Inputs!$B$3)^(A7-2016)),0)</f>
        <v>61288</v>
      </c>
    </row>
    <row r="8" spans="1:6" x14ac:dyDescent="0.25">
      <c r="A8" s="41">
        <v>2022</v>
      </c>
      <c r="B8" s="38">
        <f>'Reduced VMT'!Q12</f>
        <v>1137971.4349956545</v>
      </c>
      <c r="C8" s="61">
        <f>Inputs!$B$135</f>
        <v>4.1489999999999999E-2</v>
      </c>
      <c r="D8" s="38">
        <f>C8*B8</f>
        <v>47214.434837969704</v>
      </c>
      <c r="E8" s="55">
        <f>D8*Inputs!$B$136</f>
        <v>86921.774536702229</v>
      </c>
      <c r="F8" s="57">
        <f>ROUND(E8/((1+Inputs!$B$3)^(A8-2016)),0)</f>
        <v>57920</v>
      </c>
    </row>
    <row r="9" spans="1:6" x14ac:dyDescent="0.25">
      <c r="A9" s="41">
        <v>2023</v>
      </c>
      <c r="B9" s="38">
        <f>'Reduced VMT'!Q13</f>
        <v>1150717.1314734169</v>
      </c>
      <c r="C9" s="61">
        <f>Inputs!$B$135</f>
        <v>4.1489999999999999E-2</v>
      </c>
      <c r="D9" s="38">
        <f t="shared" si="0"/>
        <v>47743.253784832064</v>
      </c>
      <c r="E9" s="55">
        <f>D9*Inputs!$B$136</f>
        <v>87895.330217875831</v>
      </c>
      <c r="F9" s="57">
        <f>ROUND(E9/((1+Inputs!$B$3)^(A9-2016)),0)</f>
        <v>54737</v>
      </c>
    </row>
    <row r="10" spans="1:6" x14ac:dyDescent="0.25">
      <c r="A10" s="41">
        <v>2024</v>
      </c>
      <c r="B10" s="38">
        <f>'Reduced VMT'!Q14</f>
        <v>1163605.5844156276</v>
      </c>
      <c r="C10" s="61">
        <f>Inputs!$B$135</f>
        <v>4.1489999999999999E-2</v>
      </c>
      <c r="D10" s="38">
        <f t="shared" si="0"/>
        <v>48277.995697404389</v>
      </c>
      <c r="E10" s="55">
        <f>D10*Inputs!$B$136</f>
        <v>88879.790078921476</v>
      </c>
      <c r="F10" s="57">
        <f>ROUND(E10/((1+Inputs!$B$3)^(A10-2016)),0)</f>
        <v>51729</v>
      </c>
    </row>
    <row r="11" spans="1:6" x14ac:dyDescent="0.25">
      <c r="A11" s="41">
        <v>2025</v>
      </c>
      <c r="B11" s="38">
        <f>'Reduced VMT'!Q15</f>
        <v>1176638.3927469258</v>
      </c>
      <c r="C11" s="61">
        <f>Inputs!$B$135</f>
        <v>4.1489999999999999E-2</v>
      </c>
      <c r="D11" s="38">
        <f t="shared" si="0"/>
        <v>48818.72691506995</v>
      </c>
      <c r="E11" s="55">
        <f>D11*Inputs!$B$136</f>
        <v>89875.276250643772</v>
      </c>
      <c r="F11" s="57">
        <f>ROUND(E11/((1+Inputs!$B$3)^(A11-2016)),0)</f>
        <v>48886</v>
      </c>
    </row>
    <row r="12" spans="1:6" x14ac:dyDescent="0.25">
      <c r="A12" s="41">
        <v>2026</v>
      </c>
      <c r="B12" s="38">
        <f>'Reduced VMT'!Q16</f>
        <v>1189817.1733004921</v>
      </c>
      <c r="C12" s="61">
        <f>Inputs!$B$135</f>
        <v>4.1489999999999999E-2</v>
      </c>
      <c r="D12" s="38">
        <f t="shared" si="0"/>
        <v>49365.514520237419</v>
      </c>
      <c r="E12" s="55">
        <f>D12*Inputs!$B$136</f>
        <v>90881.912231757087</v>
      </c>
      <c r="F12" s="57">
        <f>ROUND(E12/((1+Inputs!$B$3)^(A12-2016)),0)</f>
        <v>46200</v>
      </c>
    </row>
    <row r="13" spans="1:6" x14ac:dyDescent="0.25">
      <c r="A13" s="41">
        <v>2027</v>
      </c>
      <c r="B13" s="38">
        <f>'Reduced VMT'!Q17</f>
        <v>1203143.5610186297</v>
      </c>
      <c r="C13" s="61">
        <f>Inputs!$B$135</f>
        <v>4.1489999999999999E-2</v>
      </c>
      <c r="D13" s="38">
        <f t="shared" si="0"/>
        <v>49918.426346662942</v>
      </c>
      <c r="E13" s="55">
        <f>D13*Inputs!$B$136</f>
        <v>91899.822904206478</v>
      </c>
      <c r="F13" s="57">
        <f>ROUND(E13/((1+Inputs!$B$3)^(A13-2016)),0)</f>
        <v>43661</v>
      </c>
    </row>
    <row r="14" spans="1:6" x14ac:dyDescent="0.25">
      <c r="A14" s="41">
        <v>2028</v>
      </c>
      <c r="B14" s="38">
        <f>'Reduced VMT'!Q18</f>
        <v>1216619.209155594</v>
      </c>
      <c r="C14" s="61">
        <f>Inputs!$B$135</f>
        <v>4.1489999999999999E-2</v>
      </c>
      <c r="D14" s="38">
        <f t="shared" si="0"/>
        <v>50477.530987865597</v>
      </c>
      <c r="E14" s="55">
        <f>D14*Inputs!$B$136</f>
        <v>92929.134548660557</v>
      </c>
      <c r="F14" s="57">
        <f>ROUND(E14/((1+Inputs!$B$3)^(A14-2016)),0)</f>
        <v>41262</v>
      </c>
    </row>
    <row r="15" spans="1:6" x14ac:dyDescent="0.25">
      <c r="A15" s="41">
        <v>2029</v>
      </c>
      <c r="B15" s="38">
        <f>'Reduced VMT'!Q19</f>
        <v>1230245.789482693</v>
      </c>
      <c r="C15" s="61">
        <f>Inputs!$B$135</f>
        <v>4.1489999999999999E-2</v>
      </c>
      <c r="D15" s="38">
        <f t="shared" si="0"/>
        <v>51042.897805636931</v>
      </c>
      <c r="E15" s="55">
        <f>D15*Inputs!$B$136</f>
        <v>93969.974860177594</v>
      </c>
      <c r="F15" s="57">
        <f>ROUND(E15/((1+Inputs!$B$3)^(A15-2016)),0)</f>
        <v>38994</v>
      </c>
    </row>
    <row r="16" spans="1:6" x14ac:dyDescent="0.25">
      <c r="A16" s="41">
        <v>2030</v>
      </c>
      <c r="B16" s="38">
        <f>'Reduced VMT'!Q20</f>
        <v>1244024.9924956858</v>
      </c>
      <c r="C16" s="61">
        <f>Inputs!$B$135</f>
        <v>4.1489999999999999E-2</v>
      </c>
      <c r="D16" s="38">
        <f t="shared" si="0"/>
        <v>51614.596938646006</v>
      </c>
      <c r="E16" s="55">
        <f>D16*Inputs!$B$136</f>
        <v>95022.472964047294</v>
      </c>
      <c r="F16" s="57">
        <f>ROUND(E16/((1+Inputs!$B$3)^(A16-2016)),0)</f>
        <v>36851</v>
      </c>
    </row>
    <row r="17" spans="1:6" x14ac:dyDescent="0.25">
      <c r="A17" s="41">
        <v>2031</v>
      </c>
      <c r="B17" s="38">
        <f>'Reduced VMT'!Q21</f>
        <v>1257958.5276245011</v>
      </c>
      <c r="C17" s="61">
        <f>Inputs!$B$135</f>
        <v>4.1489999999999999E-2</v>
      </c>
      <c r="D17" s="38">
        <f t="shared" si="0"/>
        <v>52192.699311140554</v>
      </c>
      <c r="E17" s="55">
        <f>D17*Inputs!$B$136</f>
        <v>96086.759431809754</v>
      </c>
      <c r="F17" s="57">
        <f>ROUND(E17/((1+Inputs!$B$3)^(A17-2016)),0)</f>
        <v>34826</v>
      </c>
    </row>
    <row r="18" spans="1:6" x14ac:dyDescent="0.25">
      <c r="A18" s="41">
        <v>2032</v>
      </c>
      <c r="B18" s="38">
        <f>'Reduced VMT'!Q22</f>
        <v>1272048.1234453102</v>
      </c>
      <c r="C18" s="61">
        <f>Inputs!$B$135</f>
        <v>4.1489999999999999E-2</v>
      </c>
      <c r="D18" s="38">
        <f t="shared" si="0"/>
        <v>52777.276641745921</v>
      </c>
      <c r="E18" s="55">
        <f>D18*Inputs!$B$136</f>
        <v>97162.966297454244</v>
      </c>
      <c r="F18" s="57">
        <f>ROUND(E18/((1+Inputs!$B$3)^(A18-2016)),0)</f>
        <v>32912</v>
      </c>
    </row>
    <row r="19" spans="1:6" x14ac:dyDescent="0.25">
      <c r="A19" s="41">
        <v>2033</v>
      </c>
      <c r="B19" s="38">
        <f>'Reduced VMT'!Q23</f>
        <v>1286295.5278949686</v>
      </c>
      <c r="C19" s="61">
        <f>Inputs!$B$135</f>
        <v>4.1489999999999999E-2</v>
      </c>
      <c r="D19" s="38">
        <f t="shared" si="0"/>
        <v>53368.401452362246</v>
      </c>
      <c r="E19" s="55">
        <f>D19*Inputs!$B$136</f>
        <v>98251.227073798887</v>
      </c>
      <c r="F19" s="57">
        <f>ROUND(E19/((1+Inputs!$B$3)^(A19-2016)),0)</f>
        <v>31104</v>
      </c>
    </row>
    <row r="20" spans="1:6" x14ac:dyDescent="0.25">
      <c r="A20" s="41">
        <v>2034</v>
      </c>
      <c r="B20" s="38">
        <f>'Reduced VMT'!Q24</f>
        <v>1300702.5084878644</v>
      </c>
      <c r="C20" s="61">
        <f>Inputs!$B$135</f>
        <v>4.1489999999999999E-2</v>
      </c>
      <c r="D20" s="38">
        <f t="shared" si="0"/>
        <v>53966.147077161491</v>
      </c>
      <c r="E20" s="55">
        <f>D20*Inputs!$B$136</f>
        <v>99351.676769054306</v>
      </c>
      <c r="F20" s="57">
        <f>ROUND(E20/((1+Inputs!$B$3)^(A20-2016)),0)</f>
        <v>29395</v>
      </c>
    </row>
    <row r="21" spans="1:6" x14ac:dyDescent="0.25">
      <c r="A21" s="41">
        <v>2035</v>
      </c>
      <c r="B21" s="38">
        <f>'Reduced VMT'!Q25</f>
        <v>1315270.8525351945</v>
      </c>
      <c r="C21" s="61">
        <f>Inputs!$B$135</f>
        <v>4.1489999999999999E-2</v>
      </c>
      <c r="D21" s="38">
        <f t="shared" si="0"/>
        <v>54570.587671685214</v>
      </c>
      <c r="E21" s="55">
        <f>D21*Inputs!$B$136</f>
        <v>100464.45190357248</v>
      </c>
      <c r="F21" s="57">
        <f>ROUND(E21/((1+Inputs!$B$3)^(A21-2016)),0)</f>
        <v>27779</v>
      </c>
    </row>
    <row r="22" spans="1:6" x14ac:dyDescent="0.25">
      <c r="A22" s="41">
        <v>2036</v>
      </c>
      <c r="B22" s="38">
        <f>'Reduced VMT'!Q26</f>
        <v>1330002.3673666944</v>
      </c>
      <c r="C22" s="61">
        <f>Inputs!$B$135</f>
        <v>4.1489999999999999E-2</v>
      </c>
      <c r="D22" s="38">
        <f t="shared" si="0"/>
        <v>55181.798222044148</v>
      </c>
      <c r="E22" s="55">
        <f>D22*Inputs!$B$136</f>
        <v>101589.69052678328</v>
      </c>
      <c r="F22" s="57">
        <f>ROUND(E22/((1+Inputs!$B$3)^(A22-2016)),0)</f>
        <v>26253</v>
      </c>
    </row>
    <row r="23" spans="1:6" x14ac:dyDescent="0.25">
      <c r="A23" s="41">
        <v>2037</v>
      </c>
      <c r="B23" s="38">
        <f>'Reduced VMT'!Q27</f>
        <v>1344898.8805548535</v>
      </c>
      <c r="C23" s="61">
        <f>Inputs!$B$135</f>
        <v>4.1489999999999999E-2</v>
      </c>
      <c r="D23" s="38">
        <f t="shared" si="0"/>
        <v>55799.854554220867</v>
      </c>
      <c r="E23" s="55">
        <f>D23*Inputs!$B$136</f>
        <v>102727.53223432062</v>
      </c>
      <c r="F23" s="57">
        <f>ROUND(E23/((1+Inputs!$B$3)^(A23-2016)),0)</f>
        <v>24810</v>
      </c>
    </row>
    <row r="24" spans="1:6" x14ac:dyDescent="0.25">
      <c r="A24" s="41">
        <v>2038</v>
      </c>
      <c r="B24" s="38">
        <f>'Reduced VMT'!Q28</f>
        <v>1359962.2401416434</v>
      </c>
      <c r="C24" s="61">
        <f>Inputs!$B$135</f>
        <v>4.1489999999999999E-2</v>
      </c>
      <c r="D24" s="38">
        <f t="shared" si="0"/>
        <v>56424.833343476785</v>
      </c>
      <c r="E24" s="55">
        <f>D24*Inputs!$B$136</f>
        <v>103878.11818534076</v>
      </c>
      <c r="F24" s="57">
        <f>ROUND(E24/((1+Inputs!$B$3)^(A24-2016)),0)</f>
        <v>23447</v>
      </c>
    </row>
    <row r="25" spans="1:6" x14ac:dyDescent="0.25">
      <c r="A25" s="41">
        <v>2039</v>
      </c>
      <c r="B25" s="38">
        <f>'Reduced VMT'!Q29</f>
        <v>1375194.3148677801</v>
      </c>
      <c r="C25" s="61">
        <f>Inputs!$B$135</f>
        <v>4.1489999999999999E-2</v>
      </c>
      <c r="D25" s="38">
        <f t="shared" si="0"/>
        <v>57056.812123864191</v>
      </c>
      <c r="E25" s="55">
        <f>D25*Inputs!$B$136</f>
        <v>105041.59112003398</v>
      </c>
      <c r="F25" s="57">
        <f>ROUND(E25/((1+Inputs!$B$3)^(A25-2016)),0)</f>
        <v>22158</v>
      </c>
    </row>
    <row r="26" spans="1:6" x14ac:dyDescent="0.25">
      <c r="A26" s="41">
        <v>2040</v>
      </c>
      <c r="B26" s="38">
        <f>'Reduced VMT'!Q30</f>
        <v>1390596.9944045618</v>
      </c>
      <c r="C26" s="61">
        <f>Inputs!$B$135</f>
        <v>4.1489999999999999E-2</v>
      </c>
      <c r="D26" s="38">
        <f t="shared" si="0"/>
        <v>57695.869297845267</v>
      </c>
      <c r="E26" s="55">
        <f>D26*Inputs!$B$136</f>
        <v>106218.09537733314</v>
      </c>
      <c r="F26" s="57">
        <f>ROUND(E26/((1+Inputs!$B$3)^(A26-2016)),0)</f>
        <v>20941</v>
      </c>
    </row>
    <row r="27" spans="1:6" x14ac:dyDescent="0.25">
      <c r="A27" s="41">
        <v>2041</v>
      </c>
      <c r="B27" s="38">
        <f>'Reduced VMT'!Q31</f>
        <v>1406172.1895882937</v>
      </c>
      <c r="C27" s="61">
        <f>Inputs!$B$135</f>
        <v>4.1489999999999999E-2</v>
      </c>
      <c r="D27" s="38">
        <f t="shared" si="0"/>
        <v>58342.0841460183</v>
      </c>
      <c r="E27" s="55">
        <f>D27*Inputs!$B$136</f>
        <v>107407.77691281968</v>
      </c>
      <c r="F27" s="57">
        <f>ROUND(E27/((1+Inputs!$B$3)^(A27-2016)),0)</f>
        <v>19790</v>
      </c>
    </row>
    <row r="28" spans="1:6" x14ac:dyDescent="0.25">
      <c r="A28" s="41">
        <v>2042</v>
      </c>
      <c r="B28" s="38">
        <f>'Reduced VMT'!Q32</f>
        <v>1421921.8326573493</v>
      </c>
      <c r="C28" s="61">
        <f>Inputs!$B$135</f>
        <v>4.1489999999999999E-2</v>
      </c>
      <c r="D28" s="38">
        <f t="shared" si="0"/>
        <v>58995.536836953419</v>
      </c>
      <c r="E28" s="55">
        <f>D28*Inputs!$B$136</f>
        <v>108610.78331683124</v>
      </c>
      <c r="F28" s="57">
        <f>ROUND(E28/((1+Inputs!$B$3)^(A28-2016)),0)</f>
        <v>18702</v>
      </c>
    </row>
    <row r="29" spans="1:6" x14ac:dyDescent="0.25">
      <c r="A29" s="41">
        <v>2043</v>
      </c>
      <c r="B29" s="38">
        <f>'Reduced VMT'!Q33</f>
        <v>1437847.8774918788</v>
      </c>
      <c r="C29" s="61">
        <f>Inputs!$B$135</f>
        <v>4.1489999999999999E-2</v>
      </c>
      <c r="D29" s="38">
        <f t="shared" si="0"/>
        <v>59656.308437138054</v>
      </c>
      <c r="E29" s="55">
        <f>D29*Inputs!$B$136</f>
        <v>109827.26383277116</v>
      </c>
      <c r="F29" s="57">
        <f>ROUND(E29/((1+Inputs!$B$3)^(A29-2016)),0)</f>
        <v>17675</v>
      </c>
    </row>
    <row r="30" spans="1:6" x14ac:dyDescent="0.25">
      <c r="A30" s="41">
        <v>2044</v>
      </c>
      <c r="B30" s="38">
        <f>'Reduced VMT'!Q34</f>
        <v>1453952.2998562029</v>
      </c>
      <c r="C30" s="61">
        <f>Inputs!$B$135</f>
        <v>4.1489999999999999E-2</v>
      </c>
      <c r="D30" s="38">
        <f t="shared" si="0"/>
        <v>60324.480921033857</v>
      </c>
      <c r="E30" s="55">
        <f>D30*Inputs!$B$136</f>
        <v>111057.36937562333</v>
      </c>
      <c r="F30" s="57">
        <f>ROUND(E30/((1+Inputs!$B$3)^(A30-2016)),0)</f>
        <v>16703</v>
      </c>
    </row>
    <row r="31" spans="1:6" x14ac:dyDescent="0.25">
      <c r="A31" s="41">
        <v>2045</v>
      </c>
      <c r="B31" s="38">
        <f>'Reduced VMT'!Q35</f>
        <v>1470237.0976439284</v>
      </c>
      <c r="C31" s="61">
        <f>Inputs!$B$135</f>
        <v>4.1489999999999999E-2</v>
      </c>
      <c r="D31" s="38">
        <f t="shared" si="0"/>
        <v>61000.137181246588</v>
      </c>
      <c r="E31" s="55">
        <f>D31*Inputs!$B$136</f>
        <v>112301.25255067497</v>
      </c>
      <c r="F31" s="57">
        <f>ROUND(E31/((1+Inputs!$B$3)^(A31-2016)),0)</f>
        <v>15785</v>
      </c>
    </row>
    <row r="32" spans="1:6" x14ac:dyDescent="0.25">
      <c r="A32" s="41">
        <v>2046</v>
      </c>
      <c r="B32" s="38">
        <f>'Reduced VMT'!Q36</f>
        <v>1486704.2911257991</v>
      </c>
      <c r="C32" s="61">
        <f>Inputs!$B$135</f>
        <v>4.1489999999999999E-2</v>
      </c>
      <c r="D32" s="38">
        <f t="shared" si="0"/>
        <v>61683.361038809402</v>
      </c>
      <c r="E32" s="55">
        <f>D32*Inputs!$B$136</f>
        <v>113559.0676724481</v>
      </c>
      <c r="F32" s="57">
        <f>ROUND(E32/((1+Inputs!$B$3)^(A32-2016)),0)</f>
        <v>14918</v>
      </c>
    </row>
    <row r="33" spans="1:6" x14ac:dyDescent="0.25">
      <c r="A33" s="41">
        <v>2047</v>
      </c>
      <c r="B33" s="38">
        <f>'Reduced VMT'!Q37</f>
        <v>1503355.9232003326</v>
      </c>
      <c r="C33" s="61">
        <f>Inputs!$B$135</f>
        <v>4.1489999999999999E-2</v>
      </c>
      <c r="D33" s="38">
        <f t="shared" si="0"/>
        <v>62374.237253581799</v>
      </c>
      <c r="E33" s="55">
        <f>D33*Inputs!$B$136</f>
        <v>114830.9707838441</v>
      </c>
      <c r="F33" s="57">
        <f>ROUND(E33/((1+Inputs!$B$3)^(A33-2016)),0)</f>
        <v>14098</v>
      </c>
    </row>
    <row r="34" spans="1:6" s="4" customFormat="1" x14ac:dyDescent="0.25">
      <c r="A34" s="41">
        <v>2048</v>
      </c>
      <c r="B34" s="38">
        <f>'Reduced VMT'!Q38</f>
        <v>1520194.0596472556</v>
      </c>
      <c r="C34" s="61">
        <f>Inputs!$B$135</f>
        <v>4.1489999999999999E-2</v>
      </c>
      <c r="D34" s="38">
        <f t="shared" ref="D34:D35" si="1">C34*B34</f>
        <v>63072.851534764632</v>
      </c>
      <c r="E34" s="55">
        <f>D34*Inputs!$B$136</f>
        <v>116117.11967550169</v>
      </c>
      <c r="F34" s="57">
        <f>ROUND(E34/((1+Inputs!$B$3)^(A34-2016)),0)</f>
        <v>13323</v>
      </c>
    </row>
    <row r="35" spans="1:6" s="4" customFormat="1" ht="15.75" thickBot="1" x14ac:dyDescent="0.3">
      <c r="A35" s="41">
        <v>2049</v>
      </c>
      <c r="B35" s="38">
        <f>'Reduced VMT'!Q39</f>
        <v>1537220.7893837853</v>
      </c>
      <c r="C35" s="61">
        <f>Inputs!$B$135</f>
        <v>4.1489999999999999E-2</v>
      </c>
      <c r="D35" s="38">
        <f t="shared" si="1"/>
        <v>63779.290551533253</v>
      </c>
      <c r="E35" s="55">
        <f>D35*Inputs!$B$136</f>
        <v>117417.67390537272</v>
      </c>
      <c r="F35" s="57">
        <f>ROUND(E35/((1+Inputs!$B$3)^(A35-2016)),0)</f>
        <v>12591</v>
      </c>
    </row>
    <row r="36" spans="1:6" ht="15.75" thickBot="1" x14ac:dyDescent="0.3">
      <c r="A36" s="52" t="s">
        <v>165</v>
      </c>
      <c r="B36" s="116">
        <f>SUM(B4:B35)</f>
        <v>39421588.884860449</v>
      </c>
      <c r="C36" s="116"/>
      <c r="D36" s="116">
        <f>SUM(D4:D35)</f>
        <v>1635601.7228328602</v>
      </c>
      <c r="E36" s="120">
        <f>SUM(E4:E35)</f>
        <v>3011142.7717352957</v>
      </c>
      <c r="F36" s="121">
        <f>SUM(F4:F35)</f>
        <v>963589</v>
      </c>
    </row>
    <row r="37" spans="1:6" ht="15.75" thickBot="1" x14ac:dyDescent="0.3"/>
    <row r="38" spans="1:6" ht="60" x14ac:dyDescent="0.25">
      <c r="A38" s="603" t="s">
        <v>132</v>
      </c>
      <c r="B38" s="404" t="s">
        <v>200</v>
      </c>
      <c r="C38" s="404" t="s">
        <v>228</v>
      </c>
      <c r="D38" s="404" t="s">
        <v>229</v>
      </c>
      <c r="E38" s="162" t="s">
        <v>252</v>
      </c>
      <c r="F38" s="56" t="s">
        <v>253</v>
      </c>
    </row>
    <row r="39" spans="1:6" x14ac:dyDescent="0.25">
      <c r="A39" s="41">
        <v>2018</v>
      </c>
      <c r="B39" s="38">
        <f>ROUND(B4,-3)</f>
        <v>0</v>
      </c>
      <c r="C39" s="61">
        <f>C4</f>
        <v>4.1489999999999999E-2</v>
      </c>
      <c r="D39" s="38">
        <f t="shared" ref="D39:F39" si="2">ROUND(D4,-3)</f>
        <v>0</v>
      </c>
      <c r="E39" s="55">
        <f t="shared" si="2"/>
        <v>0</v>
      </c>
      <c r="F39" s="57">
        <f t="shared" si="2"/>
        <v>0</v>
      </c>
    </row>
    <row r="40" spans="1:6" x14ac:dyDescent="0.25">
      <c r="A40" s="41">
        <v>2019</v>
      </c>
      <c r="B40" s="38">
        <f t="shared" ref="B40:B71" si="3">ROUND(B5,-3)</f>
        <v>0</v>
      </c>
      <c r="C40" s="61">
        <f t="shared" ref="C40:C71" si="4">C5</f>
        <v>4.1489999999999999E-2</v>
      </c>
      <c r="D40" s="38">
        <f t="shared" ref="D40:F40" si="5">ROUND(D5,-3)</f>
        <v>0</v>
      </c>
      <c r="E40" s="55">
        <f t="shared" si="5"/>
        <v>0</v>
      </c>
      <c r="F40" s="57">
        <f t="shared" si="5"/>
        <v>0</v>
      </c>
    </row>
    <row r="41" spans="1:6" x14ac:dyDescent="0.25">
      <c r="A41" s="41">
        <v>2020</v>
      </c>
      <c r="B41" s="38">
        <f t="shared" si="3"/>
        <v>1113000</v>
      </c>
      <c r="C41" s="61">
        <f t="shared" si="4"/>
        <v>4.1489999999999999E-2</v>
      </c>
      <c r="D41" s="38">
        <f t="shared" ref="D41:F41" si="6">ROUND(D6,-3)</f>
        <v>46000</v>
      </c>
      <c r="E41" s="55">
        <f t="shared" si="6"/>
        <v>85000</v>
      </c>
      <c r="F41" s="57">
        <f t="shared" si="6"/>
        <v>65000</v>
      </c>
    </row>
    <row r="42" spans="1:6" x14ac:dyDescent="0.25">
      <c r="A42" s="41">
        <v>2021</v>
      </c>
      <c r="B42" s="38">
        <f t="shared" si="3"/>
        <v>1125000</v>
      </c>
      <c r="C42" s="61">
        <f t="shared" si="4"/>
        <v>4.1489999999999999E-2</v>
      </c>
      <c r="D42" s="38">
        <f t="shared" ref="D42:F42" si="7">ROUND(D7,-3)</f>
        <v>47000</v>
      </c>
      <c r="E42" s="55">
        <f t="shared" si="7"/>
        <v>86000</v>
      </c>
      <c r="F42" s="57">
        <f t="shared" si="7"/>
        <v>61000</v>
      </c>
    </row>
    <row r="43" spans="1:6" x14ac:dyDescent="0.25">
      <c r="A43" s="41">
        <v>2022</v>
      </c>
      <c r="B43" s="38">
        <f t="shared" si="3"/>
        <v>1138000</v>
      </c>
      <c r="C43" s="61">
        <f t="shared" si="4"/>
        <v>4.1489999999999999E-2</v>
      </c>
      <c r="D43" s="38">
        <f t="shared" ref="D43:F43" si="8">ROUND(D8,-3)</f>
        <v>47000</v>
      </c>
      <c r="E43" s="55">
        <f t="shared" si="8"/>
        <v>87000</v>
      </c>
      <c r="F43" s="57">
        <f t="shared" si="8"/>
        <v>58000</v>
      </c>
    </row>
    <row r="44" spans="1:6" x14ac:dyDescent="0.25">
      <c r="A44" s="41">
        <v>2023</v>
      </c>
      <c r="B44" s="38">
        <f t="shared" si="3"/>
        <v>1151000</v>
      </c>
      <c r="C44" s="61">
        <f t="shared" si="4"/>
        <v>4.1489999999999999E-2</v>
      </c>
      <c r="D44" s="38">
        <f t="shared" ref="D44:F44" si="9">ROUND(D9,-3)</f>
        <v>48000</v>
      </c>
      <c r="E44" s="55">
        <f t="shared" si="9"/>
        <v>88000</v>
      </c>
      <c r="F44" s="57">
        <f t="shared" si="9"/>
        <v>55000</v>
      </c>
    </row>
    <row r="45" spans="1:6" x14ac:dyDescent="0.25">
      <c r="A45" s="41">
        <v>2024</v>
      </c>
      <c r="B45" s="38">
        <f t="shared" si="3"/>
        <v>1164000</v>
      </c>
      <c r="C45" s="61">
        <f t="shared" si="4"/>
        <v>4.1489999999999999E-2</v>
      </c>
      <c r="D45" s="38">
        <f t="shared" ref="D45:F45" si="10">ROUND(D10,-3)</f>
        <v>48000</v>
      </c>
      <c r="E45" s="55">
        <f t="shared" si="10"/>
        <v>89000</v>
      </c>
      <c r="F45" s="57">
        <f t="shared" si="10"/>
        <v>52000</v>
      </c>
    </row>
    <row r="46" spans="1:6" x14ac:dyDescent="0.25">
      <c r="A46" s="41">
        <v>2025</v>
      </c>
      <c r="B46" s="38">
        <f t="shared" si="3"/>
        <v>1177000</v>
      </c>
      <c r="C46" s="61">
        <f t="shared" si="4"/>
        <v>4.1489999999999999E-2</v>
      </c>
      <c r="D46" s="38">
        <f t="shared" ref="D46:F46" si="11">ROUND(D11,-3)</f>
        <v>49000</v>
      </c>
      <c r="E46" s="55">
        <f t="shared" si="11"/>
        <v>90000</v>
      </c>
      <c r="F46" s="57">
        <f t="shared" si="11"/>
        <v>49000</v>
      </c>
    </row>
    <row r="47" spans="1:6" x14ac:dyDescent="0.25">
      <c r="A47" s="41">
        <v>2026</v>
      </c>
      <c r="B47" s="38">
        <f t="shared" si="3"/>
        <v>1190000</v>
      </c>
      <c r="C47" s="61">
        <f t="shared" si="4"/>
        <v>4.1489999999999999E-2</v>
      </c>
      <c r="D47" s="38">
        <f t="shared" ref="D47:F47" si="12">ROUND(D12,-3)</f>
        <v>49000</v>
      </c>
      <c r="E47" s="55">
        <f t="shared" si="12"/>
        <v>91000</v>
      </c>
      <c r="F47" s="57">
        <f t="shared" si="12"/>
        <v>46000</v>
      </c>
    </row>
    <row r="48" spans="1:6" x14ac:dyDescent="0.25">
      <c r="A48" s="41">
        <v>2027</v>
      </c>
      <c r="B48" s="38">
        <f t="shared" si="3"/>
        <v>1203000</v>
      </c>
      <c r="C48" s="61">
        <f t="shared" si="4"/>
        <v>4.1489999999999999E-2</v>
      </c>
      <c r="D48" s="38">
        <f t="shared" ref="D48:F48" si="13">ROUND(D13,-3)</f>
        <v>50000</v>
      </c>
      <c r="E48" s="55">
        <f t="shared" si="13"/>
        <v>92000</v>
      </c>
      <c r="F48" s="57">
        <f t="shared" si="13"/>
        <v>44000</v>
      </c>
    </row>
    <row r="49" spans="1:6" x14ac:dyDescent="0.25">
      <c r="A49" s="41">
        <v>2028</v>
      </c>
      <c r="B49" s="38">
        <f t="shared" si="3"/>
        <v>1217000</v>
      </c>
      <c r="C49" s="61">
        <f t="shared" si="4"/>
        <v>4.1489999999999999E-2</v>
      </c>
      <c r="D49" s="38">
        <f t="shared" ref="D49:F49" si="14">ROUND(D14,-3)</f>
        <v>50000</v>
      </c>
      <c r="E49" s="55">
        <f t="shared" si="14"/>
        <v>93000</v>
      </c>
      <c r="F49" s="57">
        <f t="shared" si="14"/>
        <v>41000</v>
      </c>
    </row>
    <row r="50" spans="1:6" x14ac:dyDescent="0.25">
      <c r="A50" s="41">
        <v>2029</v>
      </c>
      <c r="B50" s="38">
        <f t="shared" si="3"/>
        <v>1230000</v>
      </c>
      <c r="C50" s="61">
        <f t="shared" si="4"/>
        <v>4.1489999999999999E-2</v>
      </c>
      <c r="D50" s="38">
        <f t="shared" ref="D50:F50" si="15">ROUND(D15,-3)</f>
        <v>51000</v>
      </c>
      <c r="E50" s="55">
        <f t="shared" si="15"/>
        <v>94000</v>
      </c>
      <c r="F50" s="57">
        <f t="shared" si="15"/>
        <v>39000</v>
      </c>
    </row>
    <row r="51" spans="1:6" x14ac:dyDescent="0.25">
      <c r="A51" s="41">
        <v>2030</v>
      </c>
      <c r="B51" s="38">
        <f t="shared" si="3"/>
        <v>1244000</v>
      </c>
      <c r="C51" s="61">
        <f t="shared" si="4"/>
        <v>4.1489999999999999E-2</v>
      </c>
      <c r="D51" s="38">
        <f t="shared" ref="D51:F51" si="16">ROUND(D16,-3)</f>
        <v>52000</v>
      </c>
      <c r="E51" s="55">
        <f t="shared" si="16"/>
        <v>95000</v>
      </c>
      <c r="F51" s="57">
        <f t="shared" si="16"/>
        <v>37000</v>
      </c>
    </row>
    <row r="52" spans="1:6" x14ac:dyDescent="0.25">
      <c r="A52" s="41">
        <v>2031</v>
      </c>
      <c r="B52" s="38">
        <f t="shared" si="3"/>
        <v>1258000</v>
      </c>
      <c r="C52" s="61">
        <f t="shared" si="4"/>
        <v>4.1489999999999999E-2</v>
      </c>
      <c r="D52" s="38">
        <f t="shared" ref="D52:F52" si="17">ROUND(D17,-3)</f>
        <v>52000</v>
      </c>
      <c r="E52" s="55">
        <f t="shared" si="17"/>
        <v>96000</v>
      </c>
      <c r="F52" s="57">
        <f t="shared" si="17"/>
        <v>35000</v>
      </c>
    </row>
    <row r="53" spans="1:6" x14ac:dyDescent="0.25">
      <c r="A53" s="41">
        <v>2032</v>
      </c>
      <c r="B53" s="38">
        <f t="shared" si="3"/>
        <v>1272000</v>
      </c>
      <c r="C53" s="61">
        <f t="shared" si="4"/>
        <v>4.1489999999999999E-2</v>
      </c>
      <c r="D53" s="38">
        <f t="shared" ref="D53:F53" si="18">ROUND(D18,-3)</f>
        <v>53000</v>
      </c>
      <c r="E53" s="55">
        <f t="shared" si="18"/>
        <v>97000</v>
      </c>
      <c r="F53" s="57">
        <f t="shared" si="18"/>
        <v>33000</v>
      </c>
    </row>
    <row r="54" spans="1:6" x14ac:dyDescent="0.25">
      <c r="A54" s="41">
        <v>2033</v>
      </c>
      <c r="B54" s="38">
        <f t="shared" si="3"/>
        <v>1286000</v>
      </c>
      <c r="C54" s="61">
        <f t="shared" si="4"/>
        <v>4.1489999999999999E-2</v>
      </c>
      <c r="D54" s="38">
        <f t="shared" ref="D54:F54" si="19">ROUND(D19,-3)</f>
        <v>53000</v>
      </c>
      <c r="E54" s="55">
        <f t="shared" si="19"/>
        <v>98000</v>
      </c>
      <c r="F54" s="57">
        <f t="shared" si="19"/>
        <v>31000</v>
      </c>
    </row>
    <row r="55" spans="1:6" x14ac:dyDescent="0.25">
      <c r="A55" s="41">
        <v>2034</v>
      </c>
      <c r="B55" s="38">
        <f t="shared" si="3"/>
        <v>1301000</v>
      </c>
      <c r="C55" s="61">
        <f t="shared" si="4"/>
        <v>4.1489999999999999E-2</v>
      </c>
      <c r="D55" s="38">
        <f t="shared" ref="D55:F55" si="20">ROUND(D20,-3)</f>
        <v>54000</v>
      </c>
      <c r="E55" s="55">
        <f t="shared" si="20"/>
        <v>99000</v>
      </c>
      <c r="F55" s="57">
        <f t="shared" si="20"/>
        <v>29000</v>
      </c>
    </row>
    <row r="56" spans="1:6" x14ac:dyDescent="0.25">
      <c r="A56" s="41">
        <v>2035</v>
      </c>
      <c r="B56" s="38">
        <f t="shared" si="3"/>
        <v>1315000</v>
      </c>
      <c r="C56" s="61">
        <f t="shared" si="4"/>
        <v>4.1489999999999999E-2</v>
      </c>
      <c r="D56" s="38">
        <f t="shared" ref="D56:F56" si="21">ROUND(D21,-3)</f>
        <v>55000</v>
      </c>
      <c r="E56" s="55">
        <f t="shared" si="21"/>
        <v>100000</v>
      </c>
      <c r="F56" s="57">
        <f t="shared" si="21"/>
        <v>28000</v>
      </c>
    </row>
    <row r="57" spans="1:6" x14ac:dyDescent="0.25">
      <c r="A57" s="41">
        <v>2036</v>
      </c>
      <c r="B57" s="38">
        <f t="shared" si="3"/>
        <v>1330000</v>
      </c>
      <c r="C57" s="61">
        <f t="shared" si="4"/>
        <v>4.1489999999999999E-2</v>
      </c>
      <c r="D57" s="38">
        <f t="shared" ref="D57:F57" si="22">ROUND(D22,-3)</f>
        <v>55000</v>
      </c>
      <c r="E57" s="55">
        <f t="shared" si="22"/>
        <v>102000</v>
      </c>
      <c r="F57" s="57">
        <f t="shared" si="22"/>
        <v>26000</v>
      </c>
    </row>
    <row r="58" spans="1:6" x14ac:dyDescent="0.25">
      <c r="A58" s="41">
        <v>2037</v>
      </c>
      <c r="B58" s="38">
        <f t="shared" si="3"/>
        <v>1345000</v>
      </c>
      <c r="C58" s="61">
        <f t="shared" si="4"/>
        <v>4.1489999999999999E-2</v>
      </c>
      <c r="D58" s="38">
        <f t="shared" ref="D58:F58" si="23">ROUND(D23,-3)</f>
        <v>56000</v>
      </c>
      <c r="E58" s="55">
        <f t="shared" si="23"/>
        <v>103000</v>
      </c>
      <c r="F58" s="57">
        <f t="shared" si="23"/>
        <v>25000</v>
      </c>
    </row>
    <row r="59" spans="1:6" x14ac:dyDescent="0.25">
      <c r="A59" s="41">
        <v>2038</v>
      </c>
      <c r="B59" s="38">
        <f t="shared" si="3"/>
        <v>1360000</v>
      </c>
      <c r="C59" s="61">
        <f t="shared" si="4"/>
        <v>4.1489999999999999E-2</v>
      </c>
      <c r="D59" s="38">
        <f t="shared" ref="D59:F59" si="24">ROUND(D24,-3)</f>
        <v>56000</v>
      </c>
      <c r="E59" s="55">
        <f t="shared" si="24"/>
        <v>104000</v>
      </c>
      <c r="F59" s="57">
        <f t="shared" si="24"/>
        <v>23000</v>
      </c>
    </row>
    <row r="60" spans="1:6" x14ac:dyDescent="0.25">
      <c r="A60" s="41">
        <v>2039</v>
      </c>
      <c r="B60" s="38">
        <f t="shared" si="3"/>
        <v>1375000</v>
      </c>
      <c r="C60" s="61">
        <f t="shared" si="4"/>
        <v>4.1489999999999999E-2</v>
      </c>
      <c r="D60" s="38">
        <f t="shared" ref="D60:F60" si="25">ROUND(D25,-3)</f>
        <v>57000</v>
      </c>
      <c r="E60" s="55">
        <f t="shared" si="25"/>
        <v>105000</v>
      </c>
      <c r="F60" s="57">
        <f t="shared" si="25"/>
        <v>22000</v>
      </c>
    </row>
    <row r="61" spans="1:6" x14ac:dyDescent="0.25">
      <c r="A61" s="41">
        <v>2040</v>
      </c>
      <c r="B61" s="38">
        <f t="shared" si="3"/>
        <v>1391000</v>
      </c>
      <c r="C61" s="61">
        <f t="shared" si="4"/>
        <v>4.1489999999999999E-2</v>
      </c>
      <c r="D61" s="38">
        <f t="shared" ref="D61:F61" si="26">ROUND(D26,-3)</f>
        <v>58000</v>
      </c>
      <c r="E61" s="55">
        <f t="shared" si="26"/>
        <v>106000</v>
      </c>
      <c r="F61" s="57">
        <f t="shared" si="26"/>
        <v>21000</v>
      </c>
    </row>
    <row r="62" spans="1:6" x14ac:dyDescent="0.25">
      <c r="A62" s="41">
        <v>2041</v>
      </c>
      <c r="B62" s="38">
        <f t="shared" si="3"/>
        <v>1406000</v>
      </c>
      <c r="C62" s="61">
        <f t="shared" si="4"/>
        <v>4.1489999999999999E-2</v>
      </c>
      <c r="D62" s="38">
        <f t="shared" ref="D62:F62" si="27">ROUND(D27,-3)</f>
        <v>58000</v>
      </c>
      <c r="E62" s="55">
        <f t="shared" si="27"/>
        <v>107000</v>
      </c>
      <c r="F62" s="57">
        <f t="shared" si="27"/>
        <v>20000</v>
      </c>
    </row>
    <row r="63" spans="1:6" x14ac:dyDescent="0.25">
      <c r="A63" s="41">
        <v>2042</v>
      </c>
      <c r="B63" s="38">
        <f t="shared" si="3"/>
        <v>1422000</v>
      </c>
      <c r="C63" s="61">
        <f t="shared" si="4"/>
        <v>4.1489999999999999E-2</v>
      </c>
      <c r="D63" s="38">
        <f t="shared" ref="D63:F63" si="28">ROUND(D28,-3)</f>
        <v>59000</v>
      </c>
      <c r="E63" s="55">
        <f t="shared" si="28"/>
        <v>109000</v>
      </c>
      <c r="F63" s="57">
        <f t="shared" si="28"/>
        <v>19000</v>
      </c>
    </row>
    <row r="64" spans="1:6" x14ac:dyDescent="0.25">
      <c r="A64" s="41">
        <v>2043</v>
      </c>
      <c r="B64" s="38">
        <f t="shared" si="3"/>
        <v>1438000</v>
      </c>
      <c r="C64" s="61">
        <f t="shared" si="4"/>
        <v>4.1489999999999999E-2</v>
      </c>
      <c r="D64" s="38">
        <f t="shared" ref="D64:F64" si="29">ROUND(D29,-3)</f>
        <v>60000</v>
      </c>
      <c r="E64" s="55">
        <f t="shared" si="29"/>
        <v>110000</v>
      </c>
      <c r="F64" s="57">
        <f t="shared" si="29"/>
        <v>18000</v>
      </c>
    </row>
    <row r="65" spans="1:6" x14ac:dyDescent="0.25">
      <c r="A65" s="41">
        <v>2044</v>
      </c>
      <c r="B65" s="38">
        <f t="shared" si="3"/>
        <v>1454000</v>
      </c>
      <c r="C65" s="61">
        <f t="shared" si="4"/>
        <v>4.1489999999999999E-2</v>
      </c>
      <c r="D65" s="38">
        <f t="shared" ref="D65:F65" si="30">ROUND(D30,-3)</f>
        <v>60000</v>
      </c>
      <c r="E65" s="55">
        <f t="shared" si="30"/>
        <v>111000</v>
      </c>
      <c r="F65" s="57">
        <f t="shared" si="30"/>
        <v>17000</v>
      </c>
    </row>
    <row r="66" spans="1:6" x14ac:dyDescent="0.25">
      <c r="A66" s="41">
        <v>2045</v>
      </c>
      <c r="B66" s="38">
        <f t="shared" si="3"/>
        <v>1470000</v>
      </c>
      <c r="C66" s="61">
        <f t="shared" si="4"/>
        <v>4.1489999999999999E-2</v>
      </c>
      <c r="D66" s="38">
        <f t="shared" ref="D66:F66" si="31">ROUND(D31,-3)</f>
        <v>61000</v>
      </c>
      <c r="E66" s="55">
        <f t="shared" si="31"/>
        <v>112000</v>
      </c>
      <c r="F66" s="57">
        <f t="shared" si="31"/>
        <v>16000</v>
      </c>
    </row>
    <row r="67" spans="1:6" x14ac:dyDescent="0.25">
      <c r="A67" s="41">
        <v>2046</v>
      </c>
      <c r="B67" s="38">
        <f t="shared" si="3"/>
        <v>1487000</v>
      </c>
      <c r="C67" s="61">
        <f t="shared" si="4"/>
        <v>4.1489999999999999E-2</v>
      </c>
      <c r="D67" s="38">
        <f t="shared" ref="D67:F67" si="32">ROUND(D32,-3)</f>
        <v>62000</v>
      </c>
      <c r="E67" s="55">
        <f t="shared" si="32"/>
        <v>114000</v>
      </c>
      <c r="F67" s="57">
        <f t="shared" si="32"/>
        <v>15000</v>
      </c>
    </row>
    <row r="68" spans="1:6" x14ac:dyDescent="0.25">
      <c r="A68" s="41">
        <v>2047</v>
      </c>
      <c r="B68" s="38">
        <f t="shared" si="3"/>
        <v>1503000</v>
      </c>
      <c r="C68" s="61">
        <f t="shared" si="4"/>
        <v>4.1489999999999999E-2</v>
      </c>
      <c r="D68" s="38">
        <f t="shared" ref="D68:F68" si="33">ROUND(D33,-3)</f>
        <v>62000</v>
      </c>
      <c r="E68" s="55">
        <f t="shared" si="33"/>
        <v>115000</v>
      </c>
      <c r="F68" s="57">
        <f t="shared" si="33"/>
        <v>14000</v>
      </c>
    </row>
    <row r="69" spans="1:6" x14ac:dyDescent="0.25">
      <c r="A69" s="41">
        <v>2048</v>
      </c>
      <c r="B69" s="38">
        <f t="shared" si="3"/>
        <v>1520000</v>
      </c>
      <c r="C69" s="61">
        <f t="shared" si="4"/>
        <v>4.1489999999999999E-2</v>
      </c>
      <c r="D69" s="38">
        <f t="shared" ref="D69:F69" si="34">ROUND(D34,-3)</f>
        <v>63000</v>
      </c>
      <c r="E69" s="55">
        <f t="shared" si="34"/>
        <v>116000</v>
      </c>
      <c r="F69" s="57">
        <f t="shared" si="34"/>
        <v>13000</v>
      </c>
    </row>
    <row r="70" spans="1:6" ht="15.75" thickBot="1" x14ac:dyDescent="0.3">
      <c r="A70" s="41">
        <v>2049</v>
      </c>
      <c r="B70" s="38">
        <f t="shared" si="3"/>
        <v>1537000</v>
      </c>
      <c r="C70" s="61">
        <f t="shared" si="4"/>
        <v>4.1489999999999999E-2</v>
      </c>
      <c r="D70" s="38">
        <f t="shared" ref="D70:F70" si="35">ROUND(D35,-3)</f>
        <v>64000</v>
      </c>
      <c r="E70" s="55">
        <f t="shared" si="35"/>
        <v>117000</v>
      </c>
      <c r="F70" s="57">
        <f t="shared" si="35"/>
        <v>13000</v>
      </c>
    </row>
    <row r="71" spans="1:6" ht="15.75" thickBot="1" x14ac:dyDescent="0.3">
      <c r="A71" s="52" t="s">
        <v>165</v>
      </c>
      <c r="B71" s="116">
        <f t="shared" si="3"/>
        <v>39422000</v>
      </c>
      <c r="C71" s="116">
        <f t="shared" si="4"/>
        <v>0</v>
      </c>
      <c r="D71" s="116">
        <f t="shared" ref="D71:F71" si="36">ROUND(D36,-3)</f>
        <v>1636000</v>
      </c>
      <c r="E71" s="120">
        <f t="shared" si="36"/>
        <v>3011000</v>
      </c>
      <c r="F71" s="121">
        <f t="shared" si="36"/>
        <v>964000</v>
      </c>
    </row>
  </sheetData>
  <sheetProtection password="891C"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39" zoomScale="80" zoomScaleNormal="80" workbookViewId="0">
      <selection activeCell="E72" sqref="B40:E72"/>
    </sheetView>
  </sheetViews>
  <sheetFormatPr defaultRowHeight="15" x14ac:dyDescent="0.25"/>
  <cols>
    <col min="2" max="5" width="13.7109375" customWidth="1"/>
  </cols>
  <sheetData>
    <row r="1" spans="1:5" ht="15.75" thickBot="1" x14ac:dyDescent="0.3"/>
    <row r="2" spans="1:5" s="7" customFormat="1" ht="60" x14ac:dyDescent="0.25">
      <c r="A2" s="51" t="s">
        <v>132</v>
      </c>
      <c r="B2" s="114" t="s">
        <v>200</v>
      </c>
      <c r="C2" s="53" t="s">
        <v>407</v>
      </c>
      <c r="D2" s="54" t="s">
        <v>226</v>
      </c>
      <c r="E2" s="56" t="s">
        <v>227</v>
      </c>
    </row>
    <row r="3" spans="1:5" x14ac:dyDescent="0.25">
      <c r="A3" s="41">
        <v>2018</v>
      </c>
      <c r="B3" s="38">
        <f>'Reduced VMT'!Q8</f>
        <v>0</v>
      </c>
      <c r="C3" s="47">
        <f>Inputs!$B$59</f>
        <v>0.1061027879403794</v>
      </c>
      <c r="D3" s="55">
        <f>B3*C3</f>
        <v>0</v>
      </c>
      <c r="E3" s="57">
        <f>ROUND(D3/((1+Inputs!$B$3)^(A3-2016)),0)</f>
        <v>0</v>
      </c>
    </row>
    <row r="4" spans="1:5" x14ac:dyDescent="0.25">
      <c r="A4" s="41">
        <v>2019</v>
      </c>
      <c r="B4" s="38">
        <f>'Reduced VMT'!Q9</f>
        <v>0</v>
      </c>
      <c r="C4" s="47">
        <f>Inputs!$B$59</f>
        <v>0.1061027879403794</v>
      </c>
      <c r="D4" s="55">
        <f t="shared" ref="D4:D32" si="0">B4*C4</f>
        <v>0</v>
      </c>
      <c r="E4" s="57">
        <f>ROUND(D4/((1+Inputs!$B$3)^(A4-2016)),0)</f>
        <v>0</v>
      </c>
    </row>
    <row r="5" spans="1:5" x14ac:dyDescent="0.25">
      <c r="A5" s="41">
        <v>2020</v>
      </c>
      <c r="B5" s="38">
        <f>'Reduced VMT'!Q10</f>
        <v>1112902.0040896575</v>
      </c>
      <c r="C5" s="47">
        <f>Inputs!$B$59</f>
        <v>0.1061027879403794</v>
      </c>
      <c r="D5" s="55">
        <f t="shared" si="0"/>
        <v>118082.00533834817</v>
      </c>
      <c r="E5" s="57">
        <f>ROUND(D5/((1+Inputs!$B$3)^(A5-2016)),0)</f>
        <v>90084</v>
      </c>
    </row>
    <row r="6" spans="1:5" x14ac:dyDescent="0.25">
      <c r="A6" s="41">
        <v>2021</v>
      </c>
      <c r="B6" s="38">
        <f>'Reduced VMT'!Q11</f>
        <v>1125366.9137678817</v>
      </c>
      <c r="C6" s="47">
        <f>Inputs!$B$59</f>
        <v>0.1061027879403794</v>
      </c>
      <c r="D6" s="55">
        <f t="shared" si="0"/>
        <v>119404.56700663279</v>
      </c>
      <c r="E6" s="57">
        <f>ROUND(D6/((1+Inputs!$B$3)^(A6-2016)),0)</f>
        <v>85134</v>
      </c>
    </row>
    <row r="7" spans="1:5" x14ac:dyDescent="0.25">
      <c r="A7" s="41">
        <v>2022</v>
      </c>
      <c r="B7" s="38">
        <f>'Reduced VMT'!Q12</f>
        <v>1137971.4349956545</v>
      </c>
      <c r="C7" s="47">
        <f>Inputs!$B$59</f>
        <v>0.1061027879403794</v>
      </c>
      <c r="D7" s="55">
        <f t="shared" si="0"/>
        <v>120741.94184955317</v>
      </c>
      <c r="E7" s="57">
        <f>ROUND(D7/((1+Inputs!$B$3)^(A7-2016)),0)</f>
        <v>80455</v>
      </c>
    </row>
    <row r="8" spans="1:5" x14ac:dyDescent="0.25">
      <c r="A8" s="41">
        <v>2023</v>
      </c>
      <c r="B8" s="38">
        <f>'Reduced VMT'!Q13</f>
        <v>1150717.1314734169</v>
      </c>
      <c r="C8" s="47">
        <f>Inputs!$B$59</f>
        <v>0.1061027879403794</v>
      </c>
      <c r="D8" s="55">
        <f t="shared" si="0"/>
        <v>122094.29578008564</v>
      </c>
      <c r="E8" s="57">
        <f>ROUND(D8/((1+Inputs!$B$3)^(A8-2016)),0)</f>
        <v>76034</v>
      </c>
    </row>
    <row r="9" spans="1:5" x14ac:dyDescent="0.25">
      <c r="A9" s="41">
        <v>2024</v>
      </c>
      <c r="B9" s="38">
        <f>'Reduced VMT'!Q14</f>
        <v>1163605.5844156276</v>
      </c>
      <c r="C9" s="47">
        <f>Inputs!$B$59</f>
        <v>0.1061027879403794</v>
      </c>
      <c r="D9" s="55">
        <f t="shared" si="0"/>
        <v>123461.79656949258</v>
      </c>
      <c r="E9" s="57">
        <f>ROUND(D9/((1+Inputs!$B$3)^(A9-2016)),0)</f>
        <v>71856</v>
      </c>
    </row>
    <row r="10" spans="1:5" x14ac:dyDescent="0.25">
      <c r="A10" s="41">
        <v>2025</v>
      </c>
      <c r="B10" s="38">
        <f>'Reduced VMT'!Q15</f>
        <v>1176638.3927469258</v>
      </c>
      <c r="C10" s="47">
        <f>Inputs!$B$59</f>
        <v>0.1061027879403794</v>
      </c>
      <c r="D10" s="55">
        <f t="shared" si="0"/>
        <v>124844.61386813593</v>
      </c>
      <c r="E10" s="57">
        <f>ROUND(D10/((1+Inputs!$B$3)^(A10-2016)),0)</f>
        <v>67907</v>
      </c>
    </row>
    <row r="11" spans="1:5" x14ac:dyDescent="0.25">
      <c r="A11" s="41">
        <v>2026</v>
      </c>
      <c r="B11" s="38">
        <f>'Reduced VMT'!Q16</f>
        <v>1189817.1733004921</v>
      </c>
      <c r="C11" s="47">
        <f>Inputs!$B$59</f>
        <v>0.1061027879403794</v>
      </c>
      <c r="D11" s="55">
        <f t="shared" si="0"/>
        <v>126242.91922652377</v>
      </c>
      <c r="E11" s="57">
        <f>ROUND(D11/((1+Inputs!$B$3)^(A11-2016)),0)</f>
        <v>64175</v>
      </c>
    </row>
    <row r="12" spans="1:5" x14ac:dyDescent="0.25">
      <c r="A12" s="41">
        <v>2027</v>
      </c>
      <c r="B12" s="38">
        <f>'Reduced VMT'!Q17</f>
        <v>1203143.5610186297</v>
      </c>
      <c r="C12" s="47">
        <f>Inputs!$B$59</f>
        <v>0.1061027879403794</v>
      </c>
      <c r="D12" s="55">
        <f t="shared" si="0"/>
        <v>127656.88611659259</v>
      </c>
      <c r="E12" s="57">
        <f>ROUND(D12/((1+Inputs!$B$3)^(A12-2016)),0)</f>
        <v>60649</v>
      </c>
    </row>
    <row r="13" spans="1:5" x14ac:dyDescent="0.25">
      <c r="A13" s="41">
        <v>2028</v>
      </c>
      <c r="B13" s="38">
        <f>'Reduced VMT'!Q18</f>
        <v>1216619.209155594</v>
      </c>
      <c r="C13" s="47">
        <f>Inputs!$B$59</f>
        <v>0.1061027879403794</v>
      </c>
      <c r="D13" s="55">
        <f t="shared" si="0"/>
        <v>129086.68995322808</v>
      </c>
      <c r="E13" s="57">
        <f>ROUND(D13/((1+Inputs!$B$3)^(A13-2016)),0)</f>
        <v>57316</v>
      </c>
    </row>
    <row r="14" spans="1:5" x14ac:dyDescent="0.25">
      <c r="A14" s="41">
        <v>2029</v>
      </c>
      <c r="B14" s="38">
        <f>'Reduced VMT'!Q19</f>
        <v>1230245.789482693</v>
      </c>
      <c r="C14" s="47">
        <f>Inputs!$B$59</f>
        <v>0.1061027879403794</v>
      </c>
      <c r="D14" s="55">
        <f t="shared" si="0"/>
        <v>130532.50811602682</v>
      </c>
      <c r="E14" s="57">
        <f>ROUND(D14/((1+Inputs!$B$3)^(A14-2016)),0)</f>
        <v>54166</v>
      </c>
    </row>
    <row r="15" spans="1:5" x14ac:dyDescent="0.25">
      <c r="A15" s="41">
        <v>2030</v>
      </c>
      <c r="B15" s="38">
        <f>'Reduced VMT'!Q20</f>
        <v>1244024.9924956858</v>
      </c>
      <c r="C15" s="47">
        <f>Inputs!$B$59</f>
        <v>0.1061027879403794</v>
      </c>
      <c r="D15" s="55">
        <f t="shared" si="0"/>
        <v>131994.51997130184</v>
      </c>
      <c r="E15" s="57">
        <f>ROUND(D15/((1+Inputs!$B$3)^(A15-2016)),0)</f>
        <v>51190</v>
      </c>
    </row>
    <row r="16" spans="1:5" x14ac:dyDescent="0.25">
      <c r="A16" s="41">
        <v>2031</v>
      </c>
      <c r="B16" s="38">
        <f>'Reduced VMT'!Q21</f>
        <v>1257958.5276245011</v>
      </c>
      <c r="C16" s="47">
        <f>Inputs!$B$59</f>
        <v>0.1061027879403794</v>
      </c>
      <c r="D16" s="55">
        <f t="shared" si="0"/>
        <v>133472.90689433436</v>
      </c>
      <c r="E16" s="57">
        <f>ROUND(D16/((1+Inputs!$B$3)^(A16-2016)),0)</f>
        <v>48377</v>
      </c>
    </row>
    <row r="17" spans="1:5" x14ac:dyDescent="0.25">
      <c r="A17" s="41">
        <v>2032</v>
      </c>
      <c r="B17" s="38">
        <f>'Reduced VMT'!Q22</f>
        <v>1272048.1234453102</v>
      </c>
      <c r="C17" s="47">
        <f>Inputs!$B$59</f>
        <v>0.1061027879403794</v>
      </c>
      <c r="D17" s="55">
        <f t="shared" si="0"/>
        <v>134967.85229187532</v>
      </c>
      <c r="E17" s="57">
        <f>ROUND(D17/((1+Inputs!$B$3)^(A17-2016)),0)</f>
        <v>45718</v>
      </c>
    </row>
    <row r="18" spans="1:5" x14ac:dyDescent="0.25">
      <c r="A18" s="41">
        <v>2033</v>
      </c>
      <c r="B18" s="38">
        <f>'Reduced VMT'!Q23</f>
        <v>1286295.5278949686</v>
      </c>
      <c r="C18" s="47">
        <f>Inputs!$B$59</f>
        <v>0.1061027879403794</v>
      </c>
      <c r="D18" s="55">
        <f t="shared" si="0"/>
        <v>136479.54162489824</v>
      </c>
      <c r="E18" s="57">
        <f>ROUND(D18/((1+Inputs!$B$3)^(A18-2016)),0)</f>
        <v>43206</v>
      </c>
    </row>
    <row r="19" spans="1:5" x14ac:dyDescent="0.25">
      <c r="A19" s="41">
        <v>2034</v>
      </c>
      <c r="B19" s="38">
        <f>'Reduced VMT'!Q24</f>
        <v>1300702.5084878644</v>
      </c>
      <c r="C19" s="47">
        <f>Inputs!$B$59</f>
        <v>0.1061027879403794</v>
      </c>
      <c r="D19" s="55">
        <f t="shared" si="0"/>
        <v>138008.16243160743</v>
      </c>
      <c r="E19" s="57">
        <f>ROUND(D19/((1+Inputs!$B$3)^(A19-2016)),0)</f>
        <v>40832</v>
      </c>
    </row>
    <row r="20" spans="1:5" x14ac:dyDescent="0.25">
      <c r="A20" s="41">
        <v>2035</v>
      </c>
      <c r="B20" s="38">
        <f>'Reduced VMT'!Q25</f>
        <v>1315270.8525351945</v>
      </c>
      <c r="C20" s="47">
        <f>Inputs!$B$59</f>
        <v>0.1061027879403794</v>
      </c>
      <c r="D20" s="55">
        <f t="shared" si="0"/>
        <v>139553.90435070376</v>
      </c>
      <c r="E20" s="57">
        <f>ROUND(D20/((1+Inputs!$B$3)^(A20-2016)),0)</f>
        <v>38588</v>
      </c>
    </row>
    <row r="21" spans="1:5" x14ac:dyDescent="0.25">
      <c r="A21" s="41">
        <v>2036</v>
      </c>
      <c r="B21" s="38">
        <f>'Reduced VMT'!Q26</f>
        <v>1330002.3673666944</v>
      </c>
      <c r="C21" s="47">
        <f>Inputs!$B$59</f>
        <v>0.1061027879403794</v>
      </c>
      <c r="D21" s="55">
        <f t="shared" si="0"/>
        <v>141116.95914491094</v>
      </c>
      <c r="E21" s="57">
        <f>ROUND(D21/((1+Inputs!$B$3)^(A21-2016)),0)</f>
        <v>36467</v>
      </c>
    </row>
    <row r="22" spans="1:5" x14ac:dyDescent="0.25">
      <c r="A22" s="41">
        <v>2037</v>
      </c>
      <c r="B22" s="38">
        <f>'Reduced VMT'!Q27</f>
        <v>1344898.8805548535</v>
      </c>
      <c r="C22" s="47">
        <f>Inputs!$B$59</f>
        <v>0.1061027879403794</v>
      </c>
      <c r="D22" s="55">
        <f t="shared" si="0"/>
        <v>142697.52072476526</v>
      </c>
      <c r="E22" s="57">
        <f>ROUND(D22/((1+Inputs!$B$3)^(A22-2016)),0)</f>
        <v>34463</v>
      </c>
    </row>
    <row r="23" spans="1:5" x14ac:dyDescent="0.25">
      <c r="A23" s="41">
        <v>2038</v>
      </c>
      <c r="B23" s="38">
        <f>'Reduced VMT'!Q28</f>
        <v>1359962.2401416434</v>
      </c>
      <c r="C23" s="47">
        <f>Inputs!$B$59</f>
        <v>0.1061027879403794</v>
      </c>
      <c r="D23" s="55">
        <f t="shared" si="0"/>
        <v>144295.78517267213</v>
      </c>
      <c r="E23" s="57">
        <f>ROUND(D23/((1+Inputs!$B$3)^(A23-2016)),0)</f>
        <v>32569</v>
      </c>
    </row>
    <row r="24" spans="1:5" x14ac:dyDescent="0.25">
      <c r="A24" s="41">
        <v>2039</v>
      </c>
      <c r="B24" s="38">
        <f>'Reduced VMT'!Q29</f>
        <v>1375194.3148677801</v>
      </c>
      <c r="C24" s="47">
        <f>Inputs!$B$59</f>
        <v>0.1061027879403794</v>
      </c>
      <c r="D24" s="55">
        <f t="shared" si="0"/>
        <v>145911.95076723141</v>
      </c>
      <c r="E24" s="57">
        <f>ROUND(D24/((1+Inputs!$B$3)^(A24-2016)),0)</f>
        <v>30780</v>
      </c>
    </row>
    <row r="25" spans="1:5" x14ac:dyDescent="0.25">
      <c r="A25" s="41">
        <v>2040</v>
      </c>
      <c r="B25" s="38">
        <f>'Reduced VMT'!Q30</f>
        <v>1390596.9944045618</v>
      </c>
      <c r="C25" s="47">
        <f>Inputs!$B$59</f>
        <v>0.1061027879403794</v>
      </c>
      <c r="D25" s="55">
        <f t="shared" si="0"/>
        <v>147546.2180078362</v>
      </c>
      <c r="E25" s="57">
        <f>ROUND(D25/((1+Inputs!$B$3)^(A25-2016)),0)</f>
        <v>29088</v>
      </c>
    </row>
    <row r="26" spans="1:5" x14ac:dyDescent="0.25">
      <c r="A26" s="41">
        <v>2041</v>
      </c>
      <c r="B26" s="38">
        <f>'Reduced VMT'!Q31</f>
        <v>1406172.1895882937</v>
      </c>
      <c r="C26" s="47">
        <f>Inputs!$B$59</f>
        <v>0.1061027879403794</v>
      </c>
      <c r="D26" s="55">
        <f t="shared" si="0"/>
        <v>149198.78963954569</v>
      </c>
      <c r="E26" s="57">
        <f>ROUND(D26/((1+Inputs!$B$3)^(A26-2016)),0)</f>
        <v>27490</v>
      </c>
    </row>
    <row r="27" spans="1:5" x14ac:dyDescent="0.25">
      <c r="A27" s="41">
        <v>2042</v>
      </c>
      <c r="B27" s="38">
        <f>'Reduced VMT'!Q32</f>
        <v>1421921.8326573493</v>
      </c>
      <c r="C27" s="47">
        <f>Inputs!$B$59</f>
        <v>0.1061027879403794</v>
      </c>
      <c r="D27" s="55">
        <f t="shared" si="0"/>
        <v>150869.87067823837</v>
      </c>
      <c r="E27" s="57">
        <f>ROUND(D27/((1+Inputs!$B$3)^(A27-2016)),0)</f>
        <v>25979</v>
      </c>
    </row>
    <row r="28" spans="1:5" x14ac:dyDescent="0.25">
      <c r="A28" s="41">
        <v>2043</v>
      </c>
      <c r="B28" s="38">
        <f>'Reduced VMT'!Q33</f>
        <v>1437847.8774918788</v>
      </c>
      <c r="C28" s="47">
        <f>Inputs!$B$59</f>
        <v>0.1061027879403794</v>
      </c>
      <c r="D28" s="55">
        <f t="shared" si="0"/>
        <v>152559.66843604544</v>
      </c>
      <c r="E28" s="57">
        <f>ROUND(D28/((1+Inputs!$B$3)^(A28-2016)),0)</f>
        <v>24551</v>
      </c>
    </row>
    <row r="29" spans="1:5" x14ac:dyDescent="0.25">
      <c r="A29" s="41">
        <v>2044</v>
      </c>
      <c r="B29" s="38">
        <f>'Reduced VMT'!Q34</f>
        <v>1453952.2998562029</v>
      </c>
      <c r="C29" s="47">
        <f>Inputs!$B$59</f>
        <v>0.1061027879403794</v>
      </c>
      <c r="D29" s="55">
        <f t="shared" si="0"/>
        <v>154268.39254706961</v>
      </c>
      <c r="E29" s="57">
        <f>ROUND(D29/((1+Inputs!$B$3)^(A29-2016)),0)</f>
        <v>23202</v>
      </c>
    </row>
    <row r="30" spans="1:5" x14ac:dyDescent="0.25">
      <c r="A30" s="41">
        <v>2045</v>
      </c>
      <c r="B30" s="38">
        <f>'Reduced VMT'!Q35</f>
        <v>1470237.0976439284</v>
      </c>
      <c r="C30" s="47">
        <f>Inputs!$B$59</f>
        <v>0.1061027879403794</v>
      </c>
      <c r="D30" s="55">
        <f t="shared" si="0"/>
        <v>155996.25499339262</v>
      </c>
      <c r="E30" s="57">
        <f>ROUND(D30/((1+Inputs!$B$3)^(A30-2016)),0)</f>
        <v>21927</v>
      </c>
    </row>
    <row r="31" spans="1:5" x14ac:dyDescent="0.25">
      <c r="A31" s="41">
        <v>2046</v>
      </c>
      <c r="B31" s="38">
        <f>'Reduced VMT'!Q36</f>
        <v>1486704.2911257991</v>
      </c>
      <c r="C31" s="47">
        <f>Inputs!$B$59</f>
        <v>0.1061027879403794</v>
      </c>
      <c r="D31" s="55">
        <f t="shared" si="0"/>
        <v>157743.47013137274</v>
      </c>
      <c r="E31" s="57">
        <f>ROUND(D31/((1+Inputs!$B$3)^(A31-2016)),0)</f>
        <v>20722</v>
      </c>
    </row>
    <row r="32" spans="1:5" x14ac:dyDescent="0.25">
      <c r="A32" s="41">
        <v>2047</v>
      </c>
      <c r="B32" s="38">
        <f>'Reduced VMT'!Q37</f>
        <v>1503355.9232003326</v>
      </c>
      <c r="C32" s="47">
        <f>Inputs!$B$59</f>
        <v>0.1061027879403794</v>
      </c>
      <c r="D32" s="55">
        <f t="shared" si="0"/>
        <v>159510.2547182382</v>
      </c>
      <c r="E32" s="57">
        <f>ROUND(D32/((1+Inputs!$B$3)^(A32-2016)),0)</f>
        <v>19584</v>
      </c>
    </row>
    <row r="33" spans="1:5" s="4" customFormat="1" x14ac:dyDescent="0.25">
      <c r="A33" s="41">
        <v>2048</v>
      </c>
      <c r="B33" s="38">
        <f>'Reduced VMT'!Q38</f>
        <v>1520194.0596472556</v>
      </c>
      <c r="C33" s="47">
        <f>Inputs!$B$59</f>
        <v>0.1061027879403794</v>
      </c>
      <c r="D33" s="55">
        <f t="shared" ref="D33:D34" si="1">B33*C33</f>
        <v>161296.82793897725</v>
      </c>
      <c r="E33" s="57">
        <f>ROUND(D33/((1+Inputs!$B$3)^(A33-2016)),0)</f>
        <v>18507</v>
      </c>
    </row>
    <row r="34" spans="1:5" s="4" customFormat="1" ht="15.75" thickBot="1" x14ac:dyDescent="0.3">
      <c r="A34" s="41">
        <v>2049</v>
      </c>
      <c r="B34" s="38">
        <f>'Reduced VMT'!Q39</f>
        <v>1537220.7893837853</v>
      </c>
      <c r="C34" s="47">
        <f>Inputs!$B$59</f>
        <v>0.1061027879403794</v>
      </c>
      <c r="D34" s="55">
        <f t="shared" si="1"/>
        <v>163103.41143353042</v>
      </c>
      <c r="E34" s="57">
        <f>ROUND(D34/((1+Inputs!$B$3)^(A34-2016)),0)</f>
        <v>17490</v>
      </c>
    </row>
    <row r="35" spans="1:5" ht="15.75" thickBot="1" x14ac:dyDescent="0.3">
      <c r="A35" s="52" t="s">
        <v>165</v>
      </c>
      <c r="B35" s="116">
        <f>SUM(B3:B34)</f>
        <v>39421588.884860449</v>
      </c>
      <c r="C35" s="125"/>
      <c r="D35" s="120">
        <f>SUM(D3:D34)</f>
        <v>4182740.4857231658</v>
      </c>
      <c r="E35" s="121">
        <f>SUM(E3:E34)</f>
        <v>1338506</v>
      </c>
    </row>
    <row r="38" spans="1:5" ht="15.75" thickBot="1" x14ac:dyDescent="0.3"/>
    <row r="39" spans="1:5" ht="60" x14ac:dyDescent="0.25">
      <c r="A39" s="603" t="s">
        <v>132</v>
      </c>
      <c r="B39" s="404" t="s">
        <v>200</v>
      </c>
      <c r="C39" s="53" t="s">
        <v>407</v>
      </c>
      <c r="D39" s="54" t="s">
        <v>226</v>
      </c>
      <c r="E39" s="56" t="s">
        <v>227</v>
      </c>
    </row>
    <row r="40" spans="1:5" x14ac:dyDescent="0.25">
      <c r="A40" s="41">
        <v>2018</v>
      </c>
      <c r="B40" s="38">
        <f>ROUND(B3,-3)</f>
        <v>0</v>
      </c>
      <c r="C40" s="47">
        <f>C3</f>
        <v>0.1061027879403794</v>
      </c>
      <c r="D40" s="55">
        <f t="shared" ref="D40:E40" si="2">ROUND(D3,-3)</f>
        <v>0</v>
      </c>
      <c r="E40" s="57">
        <f t="shared" si="2"/>
        <v>0</v>
      </c>
    </row>
    <row r="41" spans="1:5" x14ac:dyDescent="0.25">
      <c r="A41" s="41">
        <v>2019</v>
      </c>
      <c r="B41" s="38">
        <f t="shared" ref="B41:B72" si="3">ROUND(B4,-3)</f>
        <v>0</v>
      </c>
      <c r="C41" s="47">
        <f t="shared" ref="C41:C72" si="4">C4</f>
        <v>0.1061027879403794</v>
      </c>
      <c r="D41" s="55">
        <f t="shared" ref="D41:E41" si="5">ROUND(D4,-3)</f>
        <v>0</v>
      </c>
      <c r="E41" s="57">
        <f t="shared" si="5"/>
        <v>0</v>
      </c>
    </row>
    <row r="42" spans="1:5" x14ac:dyDescent="0.25">
      <c r="A42" s="41">
        <v>2020</v>
      </c>
      <c r="B42" s="38">
        <f t="shared" si="3"/>
        <v>1113000</v>
      </c>
      <c r="C42" s="47">
        <f t="shared" si="4"/>
        <v>0.1061027879403794</v>
      </c>
      <c r="D42" s="55">
        <f t="shared" ref="D42:E42" si="6">ROUND(D5,-3)</f>
        <v>118000</v>
      </c>
      <c r="E42" s="57">
        <f t="shared" si="6"/>
        <v>90000</v>
      </c>
    </row>
    <row r="43" spans="1:5" x14ac:dyDescent="0.25">
      <c r="A43" s="41">
        <v>2021</v>
      </c>
      <c r="B43" s="38">
        <f t="shared" si="3"/>
        <v>1125000</v>
      </c>
      <c r="C43" s="47">
        <f t="shared" si="4"/>
        <v>0.1061027879403794</v>
      </c>
      <c r="D43" s="55">
        <f t="shared" ref="D43:E43" si="7">ROUND(D6,-3)</f>
        <v>119000</v>
      </c>
      <c r="E43" s="57">
        <f t="shared" si="7"/>
        <v>85000</v>
      </c>
    </row>
    <row r="44" spans="1:5" x14ac:dyDescent="0.25">
      <c r="A44" s="41">
        <v>2022</v>
      </c>
      <c r="B44" s="38">
        <f t="shared" si="3"/>
        <v>1138000</v>
      </c>
      <c r="C44" s="47">
        <f t="shared" si="4"/>
        <v>0.1061027879403794</v>
      </c>
      <c r="D44" s="55">
        <f t="shared" ref="D44:E44" si="8">ROUND(D7,-3)</f>
        <v>121000</v>
      </c>
      <c r="E44" s="57">
        <f t="shared" si="8"/>
        <v>80000</v>
      </c>
    </row>
    <row r="45" spans="1:5" x14ac:dyDescent="0.25">
      <c r="A45" s="41">
        <v>2023</v>
      </c>
      <c r="B45" s="38">
        <f t="shared" si="3"/>
        <v>1151000</v>
      </c>
      <c r="C45" s="47">
        <f t="shared" si="4"/>
        <v>0.1061027879403794</v>
      </c>
      <c r="D45" s="55">
        <f t="shared" ref="D45:E45" si="9">ROUND(D8,-3)</f>
        <v>122000</v>
      </c>
      <c r="E45" s="57">
        <f t="shared" si="9"/>
        <v>76000</v>
      </c>
    </row>
    <row r="46" spans="1:5" x14ac:dyDescent="0.25">
      <c r="A46" s="41">
        <v>2024</v>
      </c>
      <c r="B46" s="38">
        <f t="shared" si="3"/>
        <v>1164000</v>
      </c>
      <c r="C46" s="47">
        <f t="shared" si="4"/>
        <v>0.1061027879403794</v>
      </c>
      <c r="D46" s="55">
        <f t="shared" ref="D46:E46" si="10">ROUND(D9,-3)</f>
        <v>123000</v>
      </c>
      <c r="E46" s="57">
        <f t="shared" si="10"/>
        <v>72000</v>
      </c>
    </row>
    <row r="47" spans="1:5" x14ac:dyDescent="0.25">
      <c r="A47" s="41">
        <v>2025</v>
      </c>
      <c r="B47" s="38">
        <f t="shared" si="3"/>
        <v>1177000</v>
      </c>
      <c r="C47" s="47">
        <f t="shared" si="4"/>
        <v>0.1061027879403794</v>
      </c>
      <c r="D47" s="55">
        <f t="shared" ref="D47:E47" si="11">ROUND(D10,-3)</f>
        <v>125000</v>
      </c>
      <c r="E47" s="57">
        <f t="shared" si="11"/>
        <v>68000</v>
      </c>
    </row>
    <row r="48" spans="1:5" x14ac:dyDescent="0.25">
      <c r="A48" s="41">
        <v>2026</v>
      </c>
      <c r="B48" s="38">
        <f t="shared" si="3"/>
        <v>1190000</v>
      </c>
      <c r="C48" s="47">
        <f t="shared" si="4"/>
        <v>0.1061027879403794</v>
      </c>
      <c r="D48" s="55">
        <f t="shared" ref="D48:E48" si="12">ROUND(D11,-3)</f>
        <v>126000</v>
      </c>
      <c r="E48" s="57">
        <f t="shared" si="12"/>
        <v>64000</v>
      </c>
    </row>
    <row r="49" spans="1:5" x14ac:dyDescent="0.25">
      <c r="A49" s="41">
        <v>2027</v>
      </c>
      <c r="B49" s="38">
        <f t="shared" si="3"/>
        <v>1203000</v>
      </c>
      <c r="C49" s="47">
        <f t="shared" si="4"/>
        <v>0.1061027879403794</v>
      </c>
      <c r="D49" s="55">
        <f t="shared" ref="D49:E49" si="13">ROUND(D12,-3)</f>
        <v>128000</v>
      </c>
      <c r="E49" s="57">
        <f t="shared" si="13"/>
        <v>61000</v>
      </c>
    </row>
    <row r="50" spans="1:5" x14ac:dyDescent="0.25">
      <c r="A50" s="41">
        <v>2028</v>
      </c>
      <c r="B50" s="38">
        <f t="shared" si="3"/>
        <v>1217000</v>
      </c>
      <c r="C50" s="47">
        <f t="shared" si="4"/>
        <v>0.1061027879403794</v>
      </c>
      <c r="D50" s="55">
        <f t="shared" ref="D50:E50" si="14">ROUND(D13,-3)</f>
        <v>129000</v>
      </c>
      <c r="E50" s="57">
        <f t="shared" si="14"/>
        <v>57000</v>
      </c>
    </row>
    <row r="51" spans="1:5" x14ac:dyDescent="0.25">
      <c r="A51" s="41">
        <v>2029</v>
      </c>
      <c r="B51" s="38">
        <f t="shared" si="3"/>
        <v>1230000</v>
      </c>
      <c r="C51" s="47">
        <f t="shared" si="4"/>
        <v>0.1061027879403794</v>
      </c>
      <c r="D51" s="55">
        <f t="shared" ref="D51:E51" si="15">ROUND(D14,-3)</f>
        <v>131000</v>
      </c>
      <c r="E51" s="57">
        <f t="shared" si="15"/>
        <v>54000</v>
      </c>
    </row>
    <row r="52" spans="1:5" x14ac:dyDescent="0.25">
      <c r="A52" s="41">
        <v>2030</v>
      </c>
      <c r="B52" s="38">
        <f t="shared" si="3"/>
        <v>1244000</v>
      </c>
      <c r="C52" s="47">
        <f t="shared" si="4"/>
        <v>0.1061027879403794</v>
      </c>
      <c r="D52" s="55">
        <f t="shared" ref="D52:E52" si="16">ROUND(D15,-3)</f>
        <v>132000</v>
      </c>
      <c r="E52" s="57">
        <f t="shared" si="16"/>
        <v>51000</v>
      </c>
    </row>
    <row r="53" spans="1:5" x14ac:dyDescent="0.25">
      <c r="A53" s="41">
        <v>2031</v>
      </c>
      <c r="B53" s="38">
        <f t="shared" si="3"/>
        <v>1258000</v>
      </c>
      <c r="C53" s="47">
        <f t="shared" si="4"/>
        <v>0.1061027879403794</v>
      </c>
      <c r="D53" s="55">
        <f t="shared" ref="D53:E53" si="17">ROUND(D16,-3)</f>
        <v>133000</v>
      </c>
      <c r="E53" s="57">
        <f t="shared" si="17"/>
        <v>48000</v>
      </c>
    </row>
    <row r="54" spans="1:5" x14ac:dyDescent="0.25">
      <c r="A54" s="41">
        <v>2032</v>
      </c>
      <c r="B54" s="38">
        <f t="shared" si="3"/>
        <v>1272000</v>
      </c>
      <c r="C54" s="47">
        <f t="shared" si="4"/>
        <v>0.1061027879403794</v>
      </c>
      <c r="D54" s="55">
        <f t="shared" ref="D54:E54" si="18">ROUND(D17,-3)</f>
        <v>135000</v>
      </c>
      <c r="E54" s="57">
        <f t="shared" si="18"/>
        <v>46000</v>
      </c>
    </row>
    <row r="55" spans="1:5" x14ac:dyDescent="0.25">
      <c r="A55" s="41">
        <v>2033</v>
      </c>
      <c r="B55" s="38">
        <f t="shared" si="3"/>
        <v>1286000</v>
      </c>
      <c r="C55" s="47">
        <f t="shared" si="4"/>
        <v>0.1061027879403794</v>
      </c>
      <c r="D55" s="55">
        <f t="shared" ref="D55:E55" si="19">ROUND(D18,-3)</f>
        <v>136000</v>
      </c>
      <c r="E55" s="57">
        <f t="shared" si="19"/>
        <v>43000</v>
      </c>
    </row>
    <row r="56" spans="1:5" x14ac:dyDescent="0.25">
      <c r="A56" s="41">
        <v>2034</v>
      </c>
      <c r="B56" s="38">
        <f t="shared" si="3"/>
        <v>1301000</v>
      </c>
      <c r="C56" s="47">
        <f t="shared" si="4"/>
        <v>0.1061027879403794</v>
      </c>
      <c r="D56" s="55">
        <f t="shared" ref="D56:E56" si="20">ROUND(D19,-3)</f>
        <v>138000</v>
      </c>
      <c r="E56" s="57">
        <f t="shared" si="20"/>
        <v>41000</v>
      </c>
    </row>
    <row r="57" spans="1:5" x14ac:dyDescent="0.25">
      <c r="A57" s="41">
        <v>2035</v>
      </c>
      <c r="B57" s="38">
        <f t="shared" si="3"/>
        <v>1315000</v>
      </c>
      <c r="C57" s="47">
        <f t="shared" si="4"/>
        <v>0.1061027879403794</v>
      </c>
      <c r="D57" s="55">
        <f t="shared" ref="D57:E57" si="21">ROUND(D20,-3)</f>
        <v>140000</v>
      </c>
      <c r="E57" s="57">
        <f t="shared" si="21"/>
        <v>39000</v>
      </c>
    </row>
    <row r="58" spans="1:5" x14ac:dyDescent="0.25">
      <c r="A58" s="41">
        <v>2036</v>
      </c>
      <c r="B58" s="38">
        <f t="shared" si="3"/>
        <v>1330000</v>
      </c>
      <c r="C58" s="47">
        <f t="shared" si="4"/>
        <v>0.1061027879403794</v>
      </c>
      <c r="D58" s="55">
        <f t="shared" ref="D58:E58" si="22">ROUND(D21,-3)</f>
        <v>141000</v>
      </c>
      <c r="E58" s="57">
        <f t="shared" si="22"/>
        <v>36000</v>
      </c>
    </row>
    <row r="59" spans="1:5" x14ac:dyDescent="0.25">
      <c r="A59" s="41">
        <v>2037</v>
      </c>
      <c r="B59" s="38">
        <f t="shared" si="3"/>
        <v>1345000</v>
      </c>
      <c r="C59" s="47">
        <f t="shared" si="4"/>
        <v>0.1061027879403794</v>
      </c>
      <c r="D59" s="55">
        <f t="shared" ref="D59:E59" si="23">ROUND(D22,-3)</f>
        <v>143000</v>
      </c>
      <c r="E59" s="57">
        <f t="shared" si="23"/>
        <v>34000</v>
      </c>
    </row>
    <row r="60" spans="1:5" x14ac:dyDescent="0.25">
      <c r="A60" s="41">
        <v>2038</v>
      </c>
      <c r="B60" s="38">
        <f t="shared" si="3"/>
        <v>1360000</v>
      </c>
      <c r="C60" s="47">
        <f t="shared" si="4"/>
        <v>0.1061027879403794</v>
      </c>
      <c r="D60" s="55">
        <f t="shared" ref="D60:E60" si="24">ROUND(D23,-3)</f>
        <v>144000</v>
      </c>
      <c r="E60" s="57">
        <f t="shared" si="24"/>
        <v>33000</v>
      </c>
    </row>
    <row r="61" spans="1:5" x14ac:dyDescent="0.25">
      <c r="A61" s="41">
        <v>2039</v>
      </c>
      <c r="B61" s="38">
        <f t="shared" si="3"/>
        <v>1375000</v>
      </c>
      <c r="C61" s="47">
        <f t="shared" si="4"/>
        <v>0.1061027879403794</v>
      </c>
      <c r="D61" s="55">
        <f t="shared" ref="D61:E61" si="25">ROUND(D24,-3)</f>
        <v>146000</v>
      </c>
      <c r="E61" s="57">
        <f t="shared" si="25"/>
        <v>31000</v>
      </c>
    </row>
    <row r="62" spans="1:5" x14ac:dyDescent="0.25">
      <c r="A62" s="41">
        <v>2040</v>
      </c>
      <c r="B62" s="38">
        <f t="shared" si="3"/>
        <v>1391000</v>
      </c>
      <c r="C62" s="47">
        <f t="shared" si="4"/>
        <v>0.1061027879403794</v>
      </c>
      <c r="D62" s="55">
        <f t="shared" ref="D62:E62" si="26">ROUND(D25,-3)</f>
        <v>148000</v>
      </c>
      <c r="E62" s="57">
        <f t="shared" si="26"/>
        <v>29000</v>
      </c>
    </row>
    <row r="63" spans="1:5" x14ac:dyDescent="0.25">
      <c r="A63" s="41">
        <v>2041</v>
      </c>
      <c r="B63" s="38">
        <f t="shared" si="3"/>
        <v>1406000</v>
      </c>
      <c r="C63" s="47">
        <f t="shared" si="4"/>
        <v>0.1061027879403794</v>
      </c>
      <c r="D63" s="55">
        <f t="shared" ref="D63:E63" si="27">ROUND(D26,-3)</f>
        <v>149000</v>
      </c>
      <c r="E63" s="57">
        <f t="shared" si="27"/>
        <v>27000</v>
      </c>
    </row>
    <row r="64" spans="1:5" x14ac:dyDescent="0.25">
      <c r="A64" s="41">
        <v>2042</v>
      </c>
      <c r="B64" s="38">
        <f t="shared" si="3"/>
        <v>1422000</v>
      </c>
      <c r="C64" s="47">
        <f t="shared" si="4"/>
        <v>0.1061027879403794</v>
      </c>
      <c r="D64" s="55">
        <f t="shared" ref="D64:E64" si="28">ROUND(D27,-3)</f>
        <v>151000</v>
      </c>
      <c r="E64" s="57">
        <f t="shared" si="28"/>
        <v>26000</v>
      </c>
    </row>
    <row r="65" spans="1:5" x14ac:dyDescent="0.25">
      <c r="A65" s="41">
        <v>2043</v>
      </c>
      <c r="B65" s="38">
        <f t="shared" si="3"/>
        <v>1438000</v>
      </c>
      <c r="C65" s="47">
        <f t="shared" si="4"/>
        <v>0.1061027879403794</v>
      </c>
      <c r="D65" s="55">
        <f t="shared" ref="D65:E65" si="29">ROUND(D28,-3)</f>
        <v>153000</v>
      </c>
      <c r="E65" s="57">
        <f t="shared" si="29"/>
        <v>25000</v>
      </c>
    </row>
    <row r="66" spans="1:5" x14ac:dyDescent="0.25">
      <c r="A66" s="41">
        <v>2044</v>
      </c>
      <c r="B66" s="38">
        <f t="shared" si="3"/>
        <v>1454000</v>
      </c>
      <c r="C66" s="47">
        <f t="shared" si="4"/>
        <v>0.1061027879403794</v>
      </c>
      <c r="D66" s="55">
        <f t="shared" ref="D66:E66" si="30">ROUND(D29,-3)</f>
        <v>154000</v>
      </c>
      <c r="E66" s="57">
        <f t="shared" si="30"/>
        <v>23000</v>
      </c>
    </row>
    <row r="67" spans="1:5" x14ac:dyDescent="0.25">
      <c r="A67" s="41">
        <v>2045</v>
      </c>
      <c r="B67" s="38">
        <f t="shared" si="3"/>
        <v>1470000</v>
      </c>
      <c r="C67" s="47">
        <f t="shared" si="4"/>
        <v>0.1061027879403794</v>
      </c>
      <c r="D67" s="55">
        <f t="shared" ref="D67:E67" si="31">ROUND(D30,-3)</f>
        <v>156000</v>
      </c>
      <c r="E67" s="57">
        <f t="shared" si="31"/>
        <v>22000</v>
      </c>
    </row>
    <row r="68" spans="1:5" x14ac:dyDescent="0.25">
      <c r="A68" s="41">
        <v>2046</v>
      </c>
      <c r="B68" s="38">
        <f t="shared" si="3"/>
        <v>1487000</v>
      </c>
      <c r="C68" s="47">
        <f t="shared" si="4"/>
        <v>0.1061027879403794</v>
      </c>
      <c r="D68" s="55">
        <f t="shared" ref="D68:E68" si="32">ROUND(D31,-3)</f>
        <v>158000</v>
      </c>
      <c r="E68" s="57">
        <f t="shared" si="32"/>
        <v>21000</v>
      </c>
    </row>
    <row r="69" spans="1:5" x14ac:dyDescent="0.25">
      <c r="A69" s="41">
        <v>2047</v>
      </c>
      <c r="B69" s="38">
        <f t="shared" si="3"/>
        <v>1503000</v>
      </c>
      <c r="C69" s="47">
        <f t="shared" si="4"/>
        <v>0.1061027879403794</v>
      </c>
      <c r="D69" s="55">
        <f t="shared" ref="D69:E69" si="33">ROUND(D32,-3)</f>
        <v>160000</v>
      </c>
      <c r="E69" s="57">
        <f t="shared" si="33"/>
        <v>20000</v>
      </c>
    </row>
    <row r="70" spans="1:5" x14ac:dyDescent="0.25">
      <c r="A70" s="41">
        <v>2048</v>
      </c>
      <c r="B70" s="38">
        <f t="shared" si="3"/>
        <v>1520000</v>
      </c>
      <c r="C70" s="47">
        <f t="shared" si="4"/>
        <v>0.1061027879403794</v>
      </c>
      <c r="D70" s="55">
        <f t="shared" ref="D70:E70" si="34">ROUND(D33,-3)</f>
        <v>161000</v>
      </c>
      <c r="E70" s="57">
        <f t="shared" si="34"/>
        <v>19000</v>
      </c>
    </row>
    <row r="71" spans="1:5" ht="15.75" thickBot="1" x14ac:dyDescent="0.3">
      <c r="A71" s="41">
        <v>2049</v>
      </c>
      <c r="B71" s="38">
        <f t="shared" si="3"/>
        <v>1537000</v>
      </c>
      <c r="C71" s="47">
        <f t="shared" si="4"/>
        <v>0.1061027879403794</v>
      </c>
      <c r="D71" s="55">
        <f t="shared" ref="D71:E71" si="35">ROUND(D34,-3)</f>
        <v>163000</v>
      </c>
      <c r="E71" s="57">
        <f t="shared" si="35"/>
        <v>17000</v>
      </c>
    </row>
    <row r="72" spans="1:5" ht="15.75" thickBot="1" x14ac:dyDescent="0.3">
      <c r="A72" s="52" t="s">
        <v>165</v>
      </c>
      <c r="B72" s="116">
        <f t="shared" si="3"/>
        <v>39422000</v>
      </c>
      <c r="C72" s="125">
        <f t="shared" si="4"/>
        <v>0</v>
      </c>
      <c r="D72" s="120">
        <f t="shared" ref="D72:E72" si="36">ROUND(D35,-3)</f>
        <v>4183000</v>
      </c>
      <c r="E72" s="121">
        <f t="shared" si="36"/>
        <v>1339000</v>
      </c>
    </row>
  </sheetData>
  <sheetProtection password="891C"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26"/>
  <sheetViews>
    <sheetView topLeftCell="G3" workbookViewId="0">
      <selection activeCell="G6" sqref="G6"/>
    </sheetView>
  </sheetViews>
  <sheetFormatPr defaultRowHeight="15" x14ac:dyDescent="0.25"/>
  <cols>
    <col min="2" max="8" width="20.7109375" style="264" customWidth="1"/>
    <col min="9" max="9" width="20.7109375" customWidth="1"/>
    <col min="10" max="11" width="16.7109375" hidden="1" customWidth="1"/>
    <col min="12" max="13" width="16.7109375" customWidth="1"/>
  </cols>
  <sheetData>
    <row r="4" spans="2:13" ht="42.75" x14ac:dyDescent="0.25">
      <c r="B4" s="304" t="s">
        <v>132</v>
      </c>
      <c r="C4" s="304" t="s">
        <v>671</v>
      </c>
      <c r="D4" s="310" t="s">
        <v>669</v>
      </c>
      <c r="E4" s="310" t="s">
        <v>791</v>
      </c>
      <c r="F4" s="304" t="s">
        <v>419</v>
      </c>
      <c r="G4" s="310" t="s">
        <v>420</v>
      </c>
      <c r="H4" s="304" t="s">
        <v>421</v>
      </c>
      <c r="I4" s="304" t="s">
        <v>672</v>
      </c>
    </row>
    <row r="5" spans="2:13" x14ac:dyDescent="0.25">
      <c r="B5" s="305">
        <v>2020</v>
      </c>
      <c r="C5" s="306">
        <f>'0.25 Mile Population'!I32</f>
        <v>2428.4166666666665</v>
      </c>
      <c r="D5" s="311">
        <f>'0.25 Mile Population'!I35</f>
        <v>176285.351</v>
      </c>
      <c r="E5" s="311">
        <f>D5*(CPI!B33/CPI!B27)</f>
        <v>186975.78166460679</v>
      </c>
      <c r="F5" s="307">
        <f>C5*E5</f>
        <v>454055104.45735884</v>
      </c>
      <c r="G5" s="442">
        <v>0.01</v>
      </c>
      <c r="H5" s="308">
        <f>F5*G5</f>
        <v>4540551.0445735883</v>
      </c>
      <c r="I5" s="308">
        <f>ROUND(H5/((1+Inputs!$B$3)^(B5-2016)),0)</f>
        <v>3463965</v>
      </c>
    </row>
    <row r="7" spans="2:13" ht="15.75" thickBot="1" x14ac:dyDescent="0.3"/>
    <row r="8" spans="2:13" ht="57" x14ac:dyDescent="0.25">
      <c r="B8" s="425" t="s">
        <v>726</v>
      </c>
      <c r="C8" s="426" t="s">
        <v>132</v>
      </c>
      <c r="D8" s="426" t="s">
        <v>727</v>
      </c>
      <c r="E8" s="426" t="s">
        <v>728</v>
      </c>
      <c r="F8" s="426" t="s">
        <v>729</v>
      </c>
      <c r="G8" s="426" t="s">
        <v>730</v>
      </c>
      <c r="H8" s="426" t="s">
        <v>731</v>
      </c>
      <c r="I8" s="426" t="s">
        <v>732</v>
      </c>
      <c r="J8" s="426" t="s">
        <v>733</v>
      </c>
      <c r="K8" s="426" t="s">
        <v>734</v>
      </c>
      <c r="L8" s="426" t="s">
        <v>735</v>
      </c>
      <c r="M8" s="427" t="s">
        <v>736</v>
      </c>
    </row>
    <row r="9" spans="2:13" ht="30" x14ac:dyDescent="0.25">
      <c r="B9" s="432" t="s">
        <v>737</v>
      </c>
      <c r="C9" s="433">
        <v>2015</v>
      </c>
      <c r="D9" s="433" t="s">
        <v>738</v>
      </c>
      <c r="E9" s="433" t="s">
        <v>739</v>
      </c>
      <c r="F9" s="434">
        <v>1759791</v>
      </c>
      <c r="G9" s="434">
        <v>457</v>
      </c>
      <c r="H9" s="433" t="s">
        <v>740</v>
      </c>
      <c r="I9" s="433" t="s">
        <v>741</v>
      </c>
      <c r="J9" s="433">
        <v>1747</v>
      </c>
      <c r="K9" s="435"/>
      <c r="L9" s="435">
        <v>1013544460</v>
      </c>
      <c r="M9" s="436">
        <v>0.48</v>
      </c>
    </row>
    <row r="10" spans="2:13" ht="60" x14ac:dyDescent="0.25">
      <c r="B10" s="428" t="s">
        <v>742</v>
      </c>
      <c r="C10" s="429">
        <v>2011</v>
      </c>
      <c r="D10" s="429" t="s">
        <v>743</v>
      </c>
      <c r="E10" s="429" t="s">
        <v>744</v>
      </c>
      <c r="F10" s="430">
        <f>138782+196731+160940+801223+210662</f>
        <v>1508338</v>
      </c>
      <c r="G10" s="430">
        <f>F10/2099.5</f>
        <v>718.42724458204339</v>
      </c>
      <c r="H10" s="429" t="s">
        <v>745</v>
      </c>
      <c r="I10" s="429" t="s">
        <v>746</v>
      </c>
      <c r="J10" s="429"/>
      <c r="K10" s="311">
        <v>263517</v>
      </c>
      <c r="L10" s="311">
        <f>5772*3.98</f>
        <v>22972.560000000001</v>
      </c>
      <c r="M10" s="431">
        <f>L10/K10</f>
        <v>8.717676658431904E-2</v>
      </c>
    </row>
    <row r="11" spans="2:13" ht="60" x14ac:dyDescent="0.25">
      <c r="B11" s="428" t="s">
        <v>747</v>
      </c>
      <c r="C11" s="429">
        <v>2007</v>
      </c>
      <c r="D11" s="429" t="s">
        <v>748</v>
      </c>
      <c r="E11" s="429" t="s">
        <v>749</v>
      </c>
      <c r="F11" s="430">
        <v>308745538</v>
      </c>
      <c r="G11" s="430">
        <v>87.4</v>
      </c>
      <c r="H11" s="429" t="s">
        <v>750</v>
      </c>
      <c r="I11" s="429" t="s">
        <v>751</v>
      </c>
      <c r="J11" s="429"/>
      <c r="K11" s="311"/>
      <c r="L11" s="311"/>
      <c r="M11" s="431">
        <v>0.02</v>
      </c>
    </row>
    <row r="12" spans="2:13" ht="75" x14ac:dyDescent="0.25">
      <c r="B12" s="432" t="s">
        <v>752</v>
      </c>
      <c r="C12" s="433">
        <v>2007</v>
      </c>
      <c r="D12" s="433" t="s">
        <v>748</v>
      </c>
      <c r="E12" s="433" t="s">
        <v>749</v>
      </c>
      <c r="F12" s="434">
        <v>308745538</v>
      </c>
      <c r="G12" s="434">
        <v>87.4</v>
      </c>
      <c r="H12" s="433" t="s">
        <v>750</v>
      </c>
      <c r="I12" s="433" t="s">
        <v>751</v>
      </c>
      <c r="J12" s="433"/>
      <c r="K12" s="435"/>
      <c r="L12" s="435"/>
      <c r="M12" s="436">
        <v>0.05</v>
      </c>
    </row>
    <row r="13" spans="2:13" ht="90" x14ac:dyDescent="0.25">
      <c r="B13" s="428" t="s">
        <v>753</v>
      </c>
      <c r="C13" s="429">
        <v>2006</v>
      </c>
      <c r="D13" s="429" t="s">
        <v>738</v>
      </c>
      <c r="E13" s="429" t="s">
        <v>754</v>
      </c>
      <c r="F13" s="430">
        <f>382578+285068</f>
        <v>667646</v>
      </c>
      <c r="G13" s="430">
        <f>F13/(53.98+51.98)</f>
        <v>6300.9248773121935</v>
      </c>
      <c r="H13" s="429"/>
      <c r="I13" s="429" t="s">
        <v>755</v>
      </c>
      <c r="J13" s="429"/>
      <c r="K13" s="311">
        <v>148475</v>
      </c>
      <c r="L13" s="311">
        <v>509.86</v>
      </c>
      <c r="M13" s="431">
        <f>((K13+L13)/K13)-1</f>
        <v>3.4339787843069569E-3</v>
      </c>
    </row>
    <row r="14" spans="2:13" ht="45" x14ac:dyDescent="0.25">
      <c r="B14" s="428" t="s">
        <v>756</v>
      </c>
      <c r="C14" s="429">
        <v>2006</v>
      </c>
      <c r="D14" s="429" t="s">
        <v>757</v>
      </c>
      <c r="E14" s="429" t="s">
        <v>758</v>
      </c>
      <c r="F14" s="430" t="s">
        <v>757</v>
      </c>
      <c r="G14" s="430" t="s">
        <v>757</v>
      </c>
      <c r="H14" s="429" t="s">
        <v>757</v>
      </c>
      <c r="I14" s="429" t="s">
        <v>751</v>
      </c>
      <c r="J14" s="429"/>
      <c r="K14" s="311"/>
      <c r="L14" s="311"/>
      <c r="M14" s="431">
        <f>(99.3/98.1)-1</f>
        <v>1.2232415902140747E-2</v>
      </c>
    </row>
    <row r="15" spans="2:13" ht="75" x14ac:dyDescent="0.25">
      <c r="B15" s="428" t="s">
        <v>759</v>
      </c>
      <c r="C15" s="429">
        <v>2006</v>
      </c>
      <c r="D15" s="429" t="s">
        <v>757</v>
      </c>
      <c r="E15" s="429" t="s">
        <v>760</v>
      </c>
      <c r="F15" s="430" t="s">
        <v>757</v>
      </c>
      <c r="G15" s="430" t="s">
        <v>757</v>
      </c>
      <c r="H15" s="429"/>
      <c r="I15" s="429" t="s">
        <v>761</v>
      </c>
      <c r="J15" s="429"/>
      <c r="K15" s="311"/>
      <c r="L15" s="311"/>
      <c r="M15" s="431">
        <f>((197117+8800)/197117)-1</f>
        <v>4.4643536579797694E-2</v>
      </c>
    </row>
    <row r="16" spans="2:13" ht="45" x14ac:dyDescent="0.25">
      <c r="B16" s="428" t="s">
        <v>762</v>
      </c>
      <c r="C16" s="429">
        <v>2004</v>
      </c>
      <c r="D16" s="429" t="s">
        <v>757</v>
      </c>
      <c r="E16" s="429" t="s">
        <v>763</v>
      </c>
      <c r="F16" s="430">
        <v>65738</v>
      </c>
      <c r="G16" s="430">
        <f>F16/404</f>
        <v>162.71782178217822</v>
      </c>
      <c r="H16" s="429" t="s">
        <v>764</v>
      </c>
      <c r="I16" s="429" t="s">
        <v>765</v>
      </c>
      <c r="J16" s="429"/>
      <c r="K16" s="311"/>
      <c r="L16" s="311"/>
      <c r="M16" s="431">
        <v>0.11</v>
      </c>
    </row>
    <row r="17" spans="2:13" ht="75" x14ac:dyDescent="0.25">
      <c r="B17" s="428" t="s">
        <v>766</v>
      </c>
      <c r="C17" s="429">
        <v>2003</v>
      </c>
      <c r="D17" s="429" t="s">
        <v>757</v>
      </c>
      <c r="E17" s="429" t="s">
        <v>767</v>
      </c>
      <c r="F17" s="430">
        <v>539546</v>
      </c>
      <c r="G17" s="430">
        <f>F17/145</f>
        <v>3721.0068965517239</v>
      </c>
      <c r="H17" s="429"/>
      <c r="I17" s="429" t="s">
        <v>768</v>
      </c>
      <c r="J17" s="429"/>
      <c r="K17" s="311"/>
      <c r="L17" s="311"/>
      <c r="M17" s="431">
        <v>-6.8000000000000005E-2</v>
      </c>
    </row>
    <row r="18" spans="2:13" ht="30" x14ac:dyDescent="0.25">
      <c r="B18" s="428" t="s">
        <v>769</v>
      </c>
      <c r="C18" s="429">
        <v>1999</v>
      </c>
      <c r="D18" s="429" t="s">
        <v>748</v>
      </c>
      <c r="E18" s="429" t="s">
        <v>770</v>
      </c>
      <c r="F18" s="430">
        <v>146574</v>
      </c>
      <c r="G18" s="430">
        <f>F18/46.14</f>
        <v>3176.7230169050713</v>
      </c>
      <c r="H18" s="429"/>
      <c r="I18" s="429" t="s">
        <v>751</v>
      </c>
      <c r="J18" s="429"/>
      <c r="K18" s="311"/>
      <c r="L18" s="311"/>
      <c r="M18" s="431">
        <v>0</v>
      </c>
    </row>
    <row r="19" spans="2:13" ht="60" x14ac:dyDescent="0.25">
      <c r="B19" s="428" t="s">
        <v>771</v>
      </c>
      <c r="C19" s="429">
        <v>1987</v>
      </c>
      <c r="D19" s="429" t="s">
        <v>748</v>
      </c>
      <c r="E19" s="429" t="s">
        <v>772</v>
      </c>
      <c r="F19" s="430">
        <v>515761</v>
      </c>
      <c r="G19" s="430">
        <f>F19/83.943</f>
        <v>6144.1811705562113</v>
      </c>
      <c r="H19" s="429" t="s">
        <v>773</v>
      </c>
      <c r="I19" s="429" t="s">
        <v>751</v>
      </c>
      <c r="J19" s="429"/>
      <c r="K19" s="311"/>
      <c r="L19" s="311"/>
      <c r="M19" s="431">
        <v>0.06</v>
      </c>
    </row>
    <row r="20" spans="2:13" ht="105.75" thickBot="1" x14ac:dyDescent="0.3">
      <c r="B20" s="437" t="s">
        <v>774</v>
      </c>
      <c r="C20" s="438">
        <v>1978</v>
      </c>
      <c r="D20" s="438" t="s">
        <v>748</v>
      </c>
      <c r="E20" s="438" t="s">
        <v>775</v>
      </c>
      <c r="F20" s="439">
        <v>189625</v>
      </c>
      <c r="G20" s="439">
        <f>F20/751</f>
        <v>252.49667110519309</v>
      </c>
      <c r="H20" s="438"/>
      <c r="I20" s="438" t="s">
        <v>776</v>
      </c>
      <c r="J20" s="438"/>
      <c r="K20" s="440"/>
      <c r="L20" s="440"/>
      <c r="M20" s="441">
        <v>0.32</v>
      </c>
    </row>
    <row r="21" spans="2:13" ht="15.75" thickBot="1" x14ac:dyDescent="0.3">
      <c r="B21" s="671" t="s">
        <v>777</v>
      </c>
      <c r="C21" s="672"/>
      <c r="D21" s="672"/>
      <c r="E21" s="672"/>
      <c r="F21" s="672"/>
      <c r="G21" s="672"/>
      <c r="H21" s="672"/>
      <c r="I21" s="672"/>
      <c r="J21" s="672"/>
      <c r="K21" s="672"/>
      <c r="L21" s="672"/>
      <c r="M21" s="673"/>
    </row>
    <row r="22" spans="2:13" ht="15.75" thickBot="1" x14ac:dyDescent="0.3"/>
    <row r="23" spans="2:13" x14ac:dyDescent="0.25">
      <c r="L23" s="444" t="s">
        <v>778</v>
      </c>
      <c r="M23" s="445">
        <f>AVERAGE(M9:M20)</f>
        <v>9.3290558154213721E-2</v>
      </c>
    </row>
    <row r="24" spans="2:13" x14ac:dyDescent="0.25">
      <c r="L24" s="446" t="s">
        <v>779</v>
      </c>
      <c r="M24" s="447">
        <f>MEDIAN(M9:M20)</f>
        <v>4.7321768289898848E-2</v>
      </c>
    </row>
    <row r="25" spans="2:13" x14ac:dyDescent="0.25">
      <c r="L25" s="446" t="s">
        <v>780</v>
      </c>
      <c r="M25" s="447">
        <f>MIN(M9:M20)</f>
        <v>-6.8000000000000005E-2</v>
      </c>
    </row>
    <row r="26" spans="2:13" ht="15.75" thickBot="1" x14ac:dyDescent="0.3">
      <c r="L26" s="448" t="s">
        <v>781</v>
      </c>
      <c r="M26" s="449">
        <f>MAX(M9:M20)</f>
        <v>0.48</v>
      </c>
    </row>
  </sheetData>
  <sheetProtection password="891C" sheet="1" objects="1" scenarios="1"/>
  <mergeCells count="1">
    <mergeCell ref="B21:M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topLeftCell="M1" zoomScale="70" zoomScaleNormal="70" workbookViewId="0">
      <selection activeCell="U18" sqref="U18"/>
    </sheetView>
  </sheetViews>
  <sheetFormatPr defaultRowHeight="15" x14ac:dyDescent="0.25"/>
  <cols>
    <col min="1" max="1" width="9.140625" style="450"/>
    <col min="2" max="19" width="20.7109375" style="450" customWidth="1"/>
    <col min="20" max="20" width="20.28515625" style="450" customWidth="1"/>
    <col min="21" max="16384" width="9.140625" style="450"/>
  </cols>
  <sheetData>
    <row r="1" spans="1:19" ht="15.75" thickBot="1" x14ac:dyDescent="0.3"/>
    <row r="2" spans="1:19" s="451" customFormat="1" ht="30" customHeight="1" thickBot="1" x14ac:dyDescent="0.3">
      <c r="A2" s="627" t="s">
        <v>136</v>
      </c>
      <c r="B2" s="637" t="s">
        <v>230</v>
      </c>
      <c r="C2" s="624"/>
      <c r="D2" s="627" t="s">
        <v>231</v>
      </c>
      <c r="E2" s="635"/>
      <c r="F2" s="635"/>
      <c r="G2" s="636"/>
      <c r="H2" s="637" t="s">
        <v>232</v>
      </c>
      <c r="I2" s="623"/>
      <c r="J2" s="623"/>
      <c r="K2" s="623"/>
      <c r="L2" s="623"/>
      <c r="M2" s="624"/>
      <c r="N2" s="637" t="s">
        <v>233</v>
      </c>
      <c r="O2" s="624"/>
      <c r="P2" s="623" t="s">
        <v>356</v>
      </c>
      <c r="Q2" s="624"/>
      <c r="R2" s="625" t="s">
        <v>240</v>
      </c>
      <c r="S2" s="625" t="s">
        <v>285</v>
      </c>
    </row>
    <row r="3" spans="1:19" s="458" customFormat="1" ht="68.25" customHeight="1" thickBot="1" x14ac:dyDescent="0.3">
      <c r="A3" s="628"/>
      <c r="B3" s="452" t="s">
        <v>400</v>
      </c>
      <c r="C3" s="453" t="s">
        <v>241</v>
      </c>
      <c r="D3" s="454" t="s">
        <v>236</v>
      </c>
      <c r="E3" s="455" t="s">
        <v>402</v>
      </c>
      <c r="F3" s="455" t="s">
        <v>401</v>
      </c>
      <c r="G3" s="456" t="s">
        <v>242</v>
      </c>
      <c r="H3" s="452" t="s">
        <v>234</v>
      </c>
      <c r="I3" s="457" t="s">
        <v>235</v>
      </c>
      <c r="J3" s="457" t="s">
        <v>418</v>
      </c>
      <c r="K3" s="457" t="s">
        <v>810</v>
      </c>
      <c r="L3" s="457" t="s">
        <v>658</v>
      </c>
      <c r="M3" s="453" t="s">
        <v>243</v>
      </c>
      <c r="N3" s="452" t="s">
        <v>403</v>
      </c>
      <c r="O3" s="453" t="s">
        <v>244</v>
      </c>
      <c r="P3" s="457" t="s">
        <v>277</v>
      </c>
      <c r="Q3" s="453" t="s">
        <v>245</v>
      </c>
      <c r="R3" s="626"/>
      <c r="S3" s="626"/>
    </row>
    <row r="4" spans="1:19" ht="15" customHeight="1" x14ac:dyDescent="0.25">
      <c r="A4" s="459">
        <v>2016</v>
      </c>
      <c r="B4" s="460">
        <v>0</v>
      </c>
      <c r="C4" s="461">
        <f t="shared" ref="C4:C37" si="0">SUM(B4:B4)</f>
        <v>0</v>
      </c>
      <c r="D4" s="460">
        <v>0</v>
      </c>
      <c r="E4" s="462">
        <v>0</v>
      </c>
      <c r="F4" s="462">
        <v>0</v>
      </c>
      <c r="G4" s="461">
        <f t="shared" ref="G4:G37" si="1">SUM(D4:F4)</f>
        <v>0</v>
      </c>
      <c r="H4" s="629" t="s">
        <v>786</v>
      </c>
      <c r="I4" s="630"/>
      <c r="J4" s="630"/>
      <c r="K4" s="633" t="s">
        <v>811</v>
      </c>
      <c r="L4" s="463">
        <v>0</v>
      </c>
      <c r="M4" s="461">
        <f t="shared" ref="M4:M37" si="2">L4</f>
        <v>0</v>
      </c>
      <c r="N4" s="460">
        <v>0</v>
      </c>
      <c r="O4" s="461">
        <f t="shared" ref="O4:O37" si="3">SUM(N4:N4)</f>
        <v>0</v>
      </c>
      <c r="P4" s="462">
        <v>0</v>
      </c>
      <c r="Q4" s="461">
        <f t="shared" ref="Q4:Q37" si="4">SUM(P4:P4)</f>
        <v>0</v>
      </c>
      <c r="R4" s="464">
        <f t="shared" ref="R4:R37" si="5">SUM(C4,G4,M4,O4,Q4)</f>
        <v>0</v>
      </c>
      <c r="S4" s="464">
        <f>ROUND(Costs!K3,-3)</f>
        <v>5520000</v>
      </c>
    </row>
    <row r="5" spans="1:19" ht="15" customHeight="1" x14ac:dyDescent="0.25">
      <c r="A5" s="459">
        <v>2017</v>
      </c>
      <c r="B5" s="460">
        <v>0</v>
      </c>
      <c r="C5" s="461">
        <f t="shared" si="0"/>
        <v>0</v>
      </c>
      <c r="D5" s="460">
        <f>ROUND('Roadway Maintenance Savings'!G2,-3)</f>
        <v>0</v>
      </c>
      <c r="E5" s="462">
        <v>0</v>
      </c>
      <c r="F5" s="462">
        <v>0</v>
      </c>
      <c r="G5" s="461">
        <f t="shared" si="1"/>
        <v>0</v>
      </c>
      <c r="H5" s="629"/>
      <c r="I5" s="630"/>
      <c r="J5" s="630"/>
      <c r="K5" s="630"/>
      <c r="L5" s="463">
        <v>0</v>
      </c>
      <c r="M5" s="461">
        <f t="shared" si="2"/>
        <v>0</v>
      </c>
      <c r="N5" s="460">
        <v>0</v>
      </c>
      <c r="O5" s="461">
        <f t="shared" si="3"/>
        <v>0</v>
      </c>
      <c r="P5" s="462">
        <v>0</v>
      </c>
      <c r="Q5" s="461">
        <f t="shared" si="4"/>
        <v>0</v>
      </c>
      <c r="R5" s="464">
        <f t="shared" si="5"/>
        <v>0</v>
      </c>
      <c r="S5" s="464">
        <f>ROUND(Costs!K4,-3)</f>
        <v>1752000</v>
      </c>
    </row>
    <row r="6" spans="1:19" ht="15" customHeight="1" x14ac:dyDescent="0.25">
      <c r="A6" s="459">
        <v>2018</v>
      </c>
      <c r="B6" s="460">
        <f>ROUND('Roadway Maintenance Savings'!E3,-2)</f>
        <v>0</v>
      </c>
      <c r="C6" s="461">
        <f t="shared" si="0"/>
        <v>0</v>
      </c>
      <c r="D6" s="460">
        <f>ROUND('Congestion Savings'!E3,-3)</f>
        <v>0</v>
      </c>
      <c r="E6" s="462">
        <f>ROUND('Vehicle Cost Savings'!E3,-3)</f>
        <v>0</v>
      </c>
      <c r="F6" s="462">
        <f>ROUND('Reduced Fuel Consumption'!F4,-3)</f>
        <v>0</v>
      </c>
      <c r="G6" s="461">
        <f t="shared" si="1"/>
        <v>0</v>
      </c>
      <c r="H6" s="629"/>
      <c r="I6" s="630"/>
      <c r="J6" s="630"/>
      <c r="K6" s="630"/>
      <c r="L6" s="463">
        <v>0</v>
      </c>
      <c r="M6" s="461">
        <f t="shared" si="2"/>
        <v>0</v>
      </c>
      <c r="N6" s="460">
        <f>ROUND('Reduced Emissions'!U4,-3)</f>
        <v>0</v>
      </c>
      <c r="O6" s="461">
        <f t="shared" si="3"/>
        <v>0</v>
      </c>
      <c r="P6" s="462">
        <f>ROUND('Reduces Crashes'!E13,-3)</f>
        <v>0</v>
      </c>
      <c r="Q6" s="461">
        <f t="shared" si="4"/>
        <v>0</v>
      </c>
      <c r="R6" s="464">
        <f t="shared" si="5"/>
        <v>0</v>
      </c>
      <c r="S6" s="464">
        <f>ROUND(Costs!K5,-3)</f>
        <v>5505000</v>
      </c>
    </row>
    <row r="7" spans="1:19" ht="15" customHeight="1" x14ac:dyDescent="0.25">
      <c r="A7" s="459">
        <v>2019</v>
      </c>
      <c r="B7" s="460">
        <f>ROUND('Roadway Maintenance Savings'!E4,-2)</f>
        <v>0</v>
      </c>
      <c r="C7" s="461">
        <f t="shared" si="0"/>
        <v>0</v>
      </c>
      <c r="D7" s="460">
        <f>ROUND('Congestion Savings'!E4,-3)</f>
        <v>0</v>
      </c>
      <c r="E7" s="462">
        <f>ROUND('Vehicle Cost Savings'!E4,-3)</f>
        <v>0</v>
      </c>
      <c r="F7" s="462">
        <f>ROUND('Reduced Fuel Consumption'!F5,-3)</f>
        <v>0</v>
      </c>
      <c r="G7" s="461">
        <f t="shared" si="1"/>
        <v>0</v>
      </c>
      <c r="H7" s="629"/>
      <c r="I7" s="630"/>
      <c r="J7" s="630"/>
      <c r="K7" s="630"/>
      <c r="L7" s="463">
        <v>0</v>
      </c>
      <c r="M7" s="461">
        <f t="shared" si="2"/>
        <v>0</v>
      </c>
      <c r="N7" s="460">
        <f>ROUND('Reduced Emissions'!U5,-3)</f>
        <v>0</v>
      </c>
      <c r="O7" s="461">
        <f t="shared" si="3"/>
        <v>0</v>
      </c>
      <c r="P7" s="462">
        <f>ROUND('Reduces Crashes'!E14,-3)</f>
        <v>0</v>
      </c>
      <c r="Q7" s="461">
        <f t="shared" si="4"/>
        <v>0</v>
      </c>
      <c r="R7" s="464">
        <f t="shared" si="5"/>
        <v>0</v>
      </c>
      <c r="S7" s="464">
        <f>ROUND(Costs!K6,-3)</f>
        <v>5145000</v>
      </c>
    </row>
    <row r="8" spans="1:19" ht="15" customHeight="1" x14ac:dyDescent="0.25">
      <c r="A8" s="459">
        <v>2020</v>
      </c>
      <c r="B8" s="460">
        <f>ROUND('Roadway Maintenance Savings'!E5,-2)</f>
        <v>1200</v>
      </c>
      <c r="C8" s="461">
        <f t="shared" si="0"/>
        <v>1200</v>
      </c>
      <c r="D8" s="460">
        <f>ROUND('Congestion Savings'!E5,-3)</f>
        <v>90000</v>
      </c>
      <c r="E8" s="462">
        <f>ROUND('Vehicle Cost Savings'!E5,-3)</f>
        <v>53000</v>
      </c>
      <c r="F8" s="462">
        <f>ROUND('Reduced Fuel Consumption'!F6,-3)</f>
        <v>65000</v>
      </c>
      <c r="G8" s="461">
        <f t="shared" si="1"/>
        <v>208000</v>
      </c>
      <c r="H8" s="629"/>
      <c r="I8" s="630"/>
      <c r="J8" s="630"/>
      <c r="K8" s="630"/>
      <c r="L8" s="463">
        <f>ROUND('Property Value Increases '!I5,-3)</f>
        <v>3464000</v>
      </c>
      <c r="M8" s="461">
        <f t="shared" si="2"/>
        <v>3464000</v>
      </c>
      <c r="N8" s="460">
        <f>ROUND('Reduced Emissions'!U6,-3)</f>
        <v>40000</v>
      </c>
      <c r="O8" s="461">
        <f t="shared" si="3"/>
        <v>40000</v>
      </c>
      <c r="P8" s="462">
        <f>ROUND('Reduces Crashes'!E15,-3)</f>
        <v>3696000</v>
      </c>
      <c r="Q8" s="461">
        <f t="shared" si="4"/>
        <v>3696000</v>
      </c>
      <c r="R8" s="464">
        <f t="shared" si="5"/>
        <v>7409200</v>
      </c>
      <c r="S8" s="464">
        <f>ROUND(Costs!K7,-3)</f>
        <v>23000</v>
      </c>
    </row>
    <row r="9" spans="1:19" ht="15" customHeight="1" x14ac:dyDescent="0.25">
      <c r="A9" s="459">
        <v>2021</v>
      </c>
      <c r="B9" s="460">
        <f>ROUND('Roadway Maintenance Savings'!E6,-2)</f>
        <v>1100</v>
      </c>
      <c r="C9" s="461">
        <f t="shared" si="0"/>
        <v>1100</v>
      </c>
      <c r="D9" s="460">
        <f>ROUND('Congestion Savings'!E6,-3)</f>
        <v>85000</v>
      </c>
      <c r="E9" s="462">
        <f>ROUND('Vehicle Cost Savings'!E6,-3)</f>
        <v>50000</v>
      </c>
      <c r="F9" s="462">
        <f>ROUND('Reduced Fuel Consumption'!F7,-3)</f>
        <v>61000</v>
      </c>
      <c r="G9" s="461">
        <f t="shared" si="1"/>
        <v>196000</v>
      </c>
      <c r="H9" s="629"/>
      <c r="I9" s="630"/>
      <c r="J9" s="630"/>
      <c r="K9" s="630"/>
      <c r="L9" s="463">
        <v>0</v>
      </c>
      <c r="M9" s="461">
        <f t="shared" si="2"/>
        <v>0</v>
      </c>
      <c r="N9" s="460">
        <f>ROUND('Reduced Emissions'!U7,-3)</f>
        <v>39000</v>
      </c>
      <c r="O9" s="461">
        <f t="shared" si="3"/>
        <v>39000</v>
      </c>
      <c r="P9" s="462">
        <f>ROUND('Reduces Crashes'!E16,-3)</f>
        <v>3454000</v>
      </c>
      <c r="Q9" s="461">
        <f t="shared" si="4"/>
        <v>3454000</v>
      </c>
      <c r="R9" s="464">
        <f t="shared" si="5"/>
        <v>3690100</v>
      </c>
      <c r="S9" s="464">
        <f>ROUND(Costs!K8,-3)</f>
        <v>20000</v>
      </c>
    </row>
    <row r="10" spans="1:19" ht="15" customHeight="1" x14ac:dyDescent="0.25">
      <c r="A10" s="459">
        <v>2022</v>
      </c>
      <c r="B10" s="460">
        <f>ROUND('Roadway Maintenance Savings'!E7,-2)</f>
        <v>1000</v>
      </c>
      <c r="C10" s="461">
        <f t="shared" si="0"/>
        <v>1000</v>
      </c>
      <c r="D10" s="460">
        <f>ROUND('Congestion Savings'!E7,-3)</f>
        <v>80000</v>
      </c>
      <c r="E10" s="462">
        <f>ROUND('Vehicle Cost Savings'!E7,-3)</f>
        <v>47000</v>
      </c>
      <c r="F10" s="462">
        <f>ROUND('Reduced Fuel Consumption'!F8,-3)</f>
        <v>58000</v>
      </c>
      <c r="G10" s="461">
        <f t="shared" si="1"/>
        <v>185000</v>
      </c>
      <c r="H10" s="629"/>
      <c r="I10" s="630"/>
      <c r="J10" s="630"/>
      <c r="K10" s="630"/>
      <c r="L10" s="463">
        <v>0</v>
      </c>
      <c r="M10" s="461">
        <f t="shared" si="2"/>
        <v>0</v>
      </c>
      <c r="N10" s="460">
        <f>ROUND('Reduced Emissions'!U8,-3)</f>
        <v>39000</v>
      </c>
      <c r="O10" s="461">
        <f t="shared" si="3"/>
        <v>39000</v>
      </c>
      <c r="P10" s="462">
        <f>ROUND('Reduces Crashes'!E17,-3)</f>
        <v>3228000</v>
      </c>
      <c r="Q10" s="461">
        <f t="shared" si="4"/>
        <v>3228000</v>
      </c>
      <c r="R10" s="464">
        <f t="shared" si="5"/>
        <v>3453000</v>
      </c>
      <c r="S10" s="464">
        <f>ROUND(Costs!K9,-3)</f>
        <v>19000</v>
      </c>
    </row>
    <row r="11" spans="1:19" ht="15" customHeight="1" x14ac:dyDescent="0.25">
      <c r="A11" s="459">
        <v>2023</v>
      </c>
      <c r="B11" s="460">
        <f>ROUND('Roadway Maintenance Savings'!E8,-2)</f>
        <v>1000</v>
      </c>
      <c r="C11" s="461">
        <f t="shared" si="0"/>
        <v>1000</v>
      </c>
      <c r="D11" s="460">
        <f>ROUND('Congestion Savings'!E8,-3)</f>
        <v>76000</v>
      </c>
      <c r="E11" s="462">
        <f>ROUND('Vehicle Cost Savings'!E8,-3)</f>
        <v>45000</v>
      </c>
      <c r="F11" s="462">
        <f>ROUND('Reduced Fuel Consumption'!F9,-3)</f>
        <v>55000</v>
      </c>
      <c r="G11" s="461">
        <f t="shared" si="1"/>
        <v>176000</v>
      </c>
      <c r="H11" s="629"/>
      <c r="I11" s="630"/>
      <c r="J11" s="630"/>
      <c r="K11" s="630"/>
      <c r="L11" s="463">
        <v>0</v>
      </c>
      <c r="M11" s="461">
        <f t="shared" si="2"/>
        <v>0</v>
      </c>
      <c r="N11" s="460">
        <f>ROUND('Reduced Emissions'!U9,-3)</f>
        <v>39000</v>
      </c>
      <c r="O11" s="461">
        <f t="shared" si="3"/>
        <v>39000</v>
      </c>
      <c r="P11" s="462">
        <f>ROUND('Reduces Crashes'!E18,-3)</f>
        <v>3017000</v>
      </c>
      <c r="Q11" s="461">
        <f t="shared" si="4"/>
        <v>3017000</v>
      </c>
      <c r="R11" s="464">
        <f t="shared" si="5"/>
        <v>3233000</v>
      </c>
      <c r="S11" s="464">
        <f>ROUND(Costs!K10,-3)</f>
        <v>17000</v>
      </c>
    </row>
    <row r="12" spans="1:19" ht="15" customHeight="1" x14ac:dyDescent="0.25">
      <c r="A12" s="459">
        <v>2024</v>
      </c>
      <c r="B12" s="460">
        <f>ROUND('Roadway Maintenance Savings'!E9,-2)</f>
        <v>900</v>
      </c>
      <c r="C12" s="461">
        <f t="shared" si="0"/>
        <v>900</v>
      </c>
      <c r="D12" s="460">
        <f>ROUND('Congestion Savings'!E9,-3)</f>
        <v>72000</v>
      </c>
      <c r="E12" s="462">
        <f>ROUND('Vehicle Cost Savings'!E9,-3)</f>
        <v>42000</v>
      </c>
      <c r="F12" s="462">
        <f>ROUND('Reduced Fuel Consumption'!F10,-3)</f>
        <v>52000</v>
      </c>
      <c r="G12" s="461">
        <f t="shared" si="1"/>
        <v>166000</v>
      </c>
      <c r="H12" s="629"/>
      <c r="I12" s="630"/>
      <c r="J12" s="630"/>
      <c r="K12" s="630"/>
      <c r="L12" s="463">
        <v>0</v>
      </c>
      <c r="M12" s="461">
        <f t="shared" si="2"/>
        <v>0</v>
      </c>
      <c r="N12" s="460">
        <f>ROUND('Reduced Emissions'!U10,-3)</f>
        <v>38000</v>
      </c>
      <c r="O12" s="461">
        <f t="shared" si="3"/>
        <v>38000</v>
      </c>
      <c r="P12" s="462">
        <f>ROUND('Reduces Crashes'!E19,-3)</f>
        <v>2819000</v>
      </c>
      <c r="Q12" s="461">
        <f t="shared" si="4"/>
        <v>2819000</v>
      </c>
      <c r="R12" s="464">
        <f t="shared" si="5"/>
        <v>3023900</v>
      </c>
      <c r="S12" s="464">
        <f>ROUND(Costs!K11,-3)</f>
        <v>16000</v>
      </c>
    </row>
    <row r="13" spans="1:19" ht="15" customHeight="1" x14ac:dyDescent="0.25">
      <c r="A13" s="459">
        <v>2025</v>
      </c>
      <c r="B13" s="460">
        <f>ROUND('Roadway Maintenance Savings'!E10,-2)</f>
        <v>900</v>
      </c>
      <c r="C13" s="461">
        <f t="shared" si="0"/>
        <v>900</v>
      </c>
      <c r="D13" s="460">
        <f>ROUND('Congestion Savings'!E10,-3)</f>
        <v>68000</v>
      </c>
      <c r="E13" s="462">
        <f>ROUND('Vehicle Cost Savings'!E10,-3)</f>
        <v>40000</v>
      </c>
      <c r="F13" s="462">
        <f>ROUND('Reduced Fuel Consumption'!F11,-3)</f>
        <v>49000</v>
      </c>
      <c r="G13" s="461">
        <f t="shared" si="1"/>
        <v>157000</v>
      </c>
      <c r="H13" s="629"/>
      <c r="I13" s="630"/>
      <c r="J13" s="630"/>
      <c r="K13" s="630"/>
      <c r="L13" s="463">
        <v>0</v>
      </c>
      <c r="M13" s="461">
        <f t="shared" si="2"/>
        <v>0</v>
      </c>
      <c r="N13" s="460">
        <f>ROUND('Reduced Emissions'!U11,-3)</f>
        <v>38000</v>
      </c>
      <c r="O13" s="461">
        <f t="shared" si="3"/>
        <v>38000</v>
      </c>
      <c r="P13" s="462">
        <f>ROUND('Reduces Crashes'!E20,-3)</f>
        <v>2635000</v>
      </c>
      <c r="Q13" s="461">
        <f t="shared" si="4"/>
        <v>2635000</v>
      </c>
      <c r="R13" s="464">
        <f t="shared" si="5"/>
        <v>2830900</v>
      </c>
      <c r="S13" s="464">
        <f>ROUND(Costs!K12,-3)</f>
        <v>17000</v>
      </c>
    </row>
    <row r="14" spans="1:19" ht="15" customHeight="1" x14ac:dyDescent="0.25">
      <c r="A14" s="459">
        <v>2026</v>
      </c>
      <c r="B14" s="460">
        <f>ROUND('Roadway Maintenance Savings'!E11,-2)</f>
        <v>800</v>
      </c>
      <c r="C14" s="461">
        <f t="shared" si="0"/>
        <v>800</v>
      </c>
      <c r="D14" s="460">
        <f>ROUND('Congestion Savings'!E11,-3)</f>
        <v>64000</v>
      </c>
      <c r="E14" s="462">
        <f>ROUND('Vehicle Cost Savings'!E11,-3)</f>
        <v>38000</v>
      </c>
      <c r="F14" s="462">
        <f>ROUND('Reduced Fuel Consumption'!F12,-3)</f>
        <v>46000</v>
      </c>
      <c r="G14" s="461">
        <f t="shared" si="1"/>
        <v>148000</v>
      </c>
      <c r="H14" s="629"/>
      <c r="I14" s="630"/>
      <c r="J14" s="630"/>
      <c r="K14" s="630"/>
      <c r="L14" s="463">
        <v>0</v>
      </c>
      <c r="M14" s="461">
        <f t="shared" si="2"/>
        <v>0</v>
      </c>
      <c r="N14" s="460">
        <f>ROUND('Reduced Emissions'!U12,-3)</f>
        <v>38000</v>
      </c>
      <c r="O14" s="461">
        <f t="shared" si="3"/>
        <v>38000</v>
      </c>
      <c r="P14" s="462">
        <f>ROUND('Reduces Crashes'!E21,-3)</f>
        <v>2463000</v>
      </c>
      <c r="Q14" s="461">
        <f t="shared" si="4"/>
        <v>2463000</v>
      </c>
      <c r="R14" s="464">
        <f t="shared" si="5"/>
        <v>2649800</v>
      </c>
      <c r="S14" s="464">
        <f>ROUND(Costs!K13,-3)</f>
        <v>14000</v>
      </c>
    </row>
    <row r="15" spans="1:19" ht="15" customHeight="1" x14ac:dyDescent="0.25">
      <c r="A15" s="459">
        <v>2027</v>
      </c>
      <c r="B15" s="460">
        <f>ROUND('Roadway Maintenance Savings'!E12,-2)</f>
        <v>800</v>
      </c>
      <c r="C15" s="461">
        <f t="shared" si="0"/>
        <v>800</v>
      </c>
      <c r="D15" s="460">
        <f>ROUND('Congestion Savings'!E12,-3)</f>
        <v>61000</v>
      </c>
      <c r="E15" s="462">
        <f>ROUND('Vehicle Cost Savings'!E12,-3)</f>
        <v>36000</v>
      </c>
      <c r="F15" s="462">
        <f>ROUND('Reduced Fuel Consumption'!F13,-3)</f>
        <v>44000</v>
      </c>
      <c r="G15" s="461">
        <f t="shared" si="1"/>
        <v>141000</v>
      </c>
      <c r="H15" s="629"/>
      <c r="I15" s="630"/>
      <c r="J15" s="630"/>
      <c r="K15" s="630"/>
      <c r="L15" s="463">
        <v>0</v>
      </c>
      <c r="M15" s="461">
        <f t="shared" si="2"/>
        <v>0</v>
      </c>
      <c r="N15" s="460">
        <f>ROUND('Reduced Emissions'!U13,-3)</f>
        <v>38000</v>
      </c>
      <c r="O15" s="461">
        <f t="shared" si="3"/>
        <v>38000</v>
      </c>
      <c r="P15" s="462">
        <f>ROUND('Reduces Crashes'!E22,-3)</f>
        <v>2301000</v>
      </c>
      <c r="Q15" s="461">
        <f t="shared" si="4"/>
        <v>2301000</v>
      </c>
      <c r="R15" s="464">
        <f t="shared" si="5"/>
        <v>2480800</v>
      </c>
      <c r="S15" s="464">
        <f>ROUND(Costs!K14,-3)</f>
        <v>13000</v>
      </c>
    </row>
    <row r="16" spans="1:19" ht="15" customHeight="1" x14ac:dyDescent="0.25">
      <c r="A16" s="459">
        <v>2028</v>
      </c>
      <c r="B16" s="460">
        <f>ROUND('Roadway Maintenance Savings'!E13,-2)</f>
        <v>700</v>
      </c>
      <c r="C16" s="461">
        <f t="shared" si="0"/>
        <v>700</v>
      </c>
      <c r="D16" s="460">
        <f>ROUND('Congestion Savings'!E13,-3)</f>
        <v>57000</v>
      </c>
      <c r="E16" s="462">
        <f>ROUND('Vehicle Cost Savings'!E13,-3)</f>
        <v>34000</v>
      </c>
      <c r="F16" s="462">
        <f>ROUND('Reduced Fuel Consumption'!F14,-3)</f>
        <v>41000</v>
      </c>
      <c r="G16" s="461">
        <f t="shared" si="1"/>
        <v>132000</v>
      </c>
      <c r="H16" s="629"/>
      <c r="I16" s="630"/>
      <c r="J16" s="630"/>
      <c r="K16" s="630"/>
      <c r="L16" s="463">
        <v>0</v>
      </c>
      <c r="M16" s="461">
        <f t="shared" si="2"/>
        <v>0</v>
      </c>
      <c r="N16" s="460">
        <f>ROUND('Reduced Emissions'!U14,-3)</f>
        <v>38000</v>
      </c>
      <c r="O16" s="461">
        <f t="shared" si="3"/>
        <v>38000</v>
      </c>
      <c r="P16" s="462">
        <f>ROUND('Reduces Crashes'!E23,-3)</f>
        <v>2151000</v>
      </c>
      <c r="Q16" s="461">
        <f t="shared" si="4"/>
        <v>2151000</v>
      </c>
      <c r="R16" s="464">
        <f t="shared" si="5"/>
        <v>2321700</v>
      </c>
      <c r="S16" s="464">
        <f>ROUND(Costs!K15,-3)</f>
        <v>12000</v>
      </c>
    </row>
    <row r="17" spans="1:19" ht="15" customHeight="1" x14ac:dyDescent="0.25">
      <c r="A17" s="459">
        <v>2029</v>
      </c>
      <c r="B17" s="460">
        <f>ROUND('Roadway Maintenance Savings'!E14,-2)</f>
        <v>700</v>
      </c>
      <c r="C17" s="461">
        <f t="shared" si="0"/>
        <v>700</v>
      </c>
      <c r="D17" s="460">
        <f>ROUND('Congestion Savings'!E14,-3)</f>
        <v>54000</v>
      </c>
      <c r="E17" s="462">
        <f>ROUND('Vehicle Cost Savings'!E14,-3)</f>
        <v>32000</v>
      </c>
      <c r="F17" s="462">
        <f>ROUND('Reduced Fuel Consumption'!F15,-3)</f>
        <v>39000</v>
      </c>
      <c r="G17" s="461">
        <f t="shared" si="1"/>
        <v>125000</v>
      </c>
      <c r="H17" s="629"/>
      <c r="I17" s="630"/>
      <c r="J17" s="630"/>
      <c r="K17" s="630"/>
      <c r="L17" s="463">
        <v>0</v>
      </c>
      <c r="M17" s="461">
        <f t="shared" si="2"/>
        <v>0</v>
      </c>
      <c r="N17" s="460">
        <f>ROUND('Reduced Emissions'!U15,-3)</f>
        <v>37000</v>
      </c>
      <c r="O17" s="461">
        <f t="shared" si="3"/>
        <v>37000</v>
      </c>
      <c r="P17" s="462">
        <f>ROUND('Reduces Crashes'!E24,-3)</f>
        <v>2010000</v>
      </c>
      <c r="Q17" s="461">
        <f t="shared" si="4"/>
        <v>2010000</v>
      </c>
      <c r="R17" s="464">
        <f t="shared" si="5"/>
        <v>2172700</v>
      </c>
      <c r="S17" s="464">
        <f>ROUND(Costs!K16,-3)</f>
        <v>12000</v>
      </c>
    </row>
    <row r="18" spans="1:19" ht="15" customHeight="1" x14ac:dyDescent="0.25">
      <c r="A18" s="459">
        <v>2030</v>
      </c>
      <c r="B18" s="460">
        <f>ROUND('Roadway Maintenance Savings'!E15,-2)</f>
        <v>700</v>
      </c>
      <c r="C18" s="461">
        <f t="shared" si="0"/>
        <v>700</v>
      </c>
      <c r="D18" s="460">
        <f>ROUND('Congestion Savings'!E15,-3)</f>
        <v>51000</v>
      </c>
      <c r="E18" s="462">
        <f>ROUND('Vehicle Cost Savings'!E15,-3)</f>
        <v>30000</v>
      </c>
      <c r="F18" s="462">
        <f>ROUND('Reduced Fuel Consumption'!F16,-3)</f>
        <v>37000</v>
      </c>
      <c r="G18" s="461">
        <f t="shared" si="1"/>
        <v>118000</v>
      </c>
      <c r="H18" s="629"/>
      <c r="I18" s="630"/>
      <c r="J18" s="630"/>
      <c r="K18" s="630"/>
      <c r="L18" s="463">
        <v>0</v>
      </c>
      <c r="M18" s="461">
        <f t="shared" si="2"/>
        <v>0</v>
      </c>
      <c r="N18" s="460">
        <f>ROUND('Reduced Emissions'!U16,-3)</f>
        <v>37000</v>
      </c>
      <c r="O18" s="461">
        <f t="shared" si="3"/>
        <v>37000</v>
      </c>
      <c r="P18" s="462">
        <f>ROUND('Reduces Crashes'!E25,-3)</f>
        <v>1879000</v>
      </c>
      <c r="Q18" s="461">
        <f t="shared" si="4"/>
        <v>1879000</v>
      </c>
      <c r="R18" s="464">
        <f t="shared" si="5"/>
        <v>2034700</v>
      </c>
      <c r="S18" s="464">
        <f>ROUND(Costs!K17,-3)</f>
        <v>12000</v>
      </c>
    </row>
    <row r="19" spans="1:19" ht="15" customHeight="1" x14ac:dyDescent="0.25">
      <c r="A19" s="459">
        <v>2031</v>
      </c>
      <c r="B19" s="460">
        <f>ROUND('Roadway Maintenance Savings'!E16,-2)</f>
        <v>600</v>
      </c>
      <c r="C19" s="461">
        <f t="shared" si="0"/>
        <v>600</v>
      </c>
      <c r="D19" s="460">
        <f>ROUND('Congestion Savings'!E16,-3)</f>
        <v>48000</v>
      </c>
      <c r="E19" s="462">
        <f>ROUND('Vehicle Cost Savings'!E16,-3)</f>
        <v>28000</v>
      </c>
      <c r="F19" s="462">
        <f>ROUND('Reduced Fuel Consumption'!F17,-3)</f>
        <v>35000</v>
      </c>
      <c r="G19" s="461">
        <f t="shared" si="1"/>
        <v>111000</v>
      </c>
      <c r="H19" s="629"/>
      <c r="I19" s="630"/>
      <c r="J19" s="630"/>
      <c r="K19" s="630"/>
      <c r="L19" s="463">
        <v>0</v>
      </c>
      <c r="M19" s="461">
        <f t="shared" si="2"/>
        <v>0</v>
      </c>
      <c r="N19" s="460">
        <f>ROUND('Reduced Emissions'!U17,-3)</f>
        <v>38000</v>
      </c>
      <c r="O19" s="461">
        <f t="shared" si="3"/>
        <v>38000</v>
      </c>
      <c r="P19" s="462">
        <f>ROUND('Reduces Crashes'!E26,-3)</f>
        <v>1756000</v>
      </c>
      <c r="Q19" s="461">
        <f t="shared" si="4"/>
        <v>1756000</v>
      </c>
      <c r="R19" s="464">
        <f t="shared" si="5"/>
        <v>1905600</v>
      </c>
      <c r="S19" s="464">
        <f>ROUND(Costs!K18,-3)</f>
        <v>10000</v>
      </c>
    </row>
    <row r="20" spans="1:19" ht="15" customHeight="1" x14ac:dyDescent="0.25">
      <c r="A20" s="459">
        <v>2032</v>
      </c>
      <c r="B20" s="460">
        <f>ROUND('Roadway Maintenance Savings'!E17,-2)</f>
        <v>600</v>
      </c>
      <c r="C20" s="461">
        <f t="shared" si="0"/>
        <v>600</v>
      </c>
      <c r="D20" s="460">
        <f>ROUND('Congestion Savings'!E17,-3)</f>
        <v>46000</v>
      </c>
      <c r="E20" s="462">
        <f>ROUND('Vehicle Cost Savings'!E17,-3)</f>
        <v>27000</v>
      </c>
      <c r="F20" s="462">
        <f>ROUND('Reduced Fuel Consumption'!F18,-3)</f>
        <v>33000</v>
      </c>
      <c r="G20" s="461">
        <f t="shared" si="1"/>
        <v>106000</v>
      </c>
      <c r="H20" s="629"/>
      <c r="I20" s="630"/>
      <c r="J20" s="630"/>
      <c r="K20" s="630"/>
      <c r="L20" s="463">
        <v>0</v>
      </c>
      <c r="M20" s="461">
        <f t="shared" si="2"/>
        <v>0</v>
      </c>
      <c r="N20" s="460">
        <f>ROUND('Reduced Emissions'!U18,-3)</f>
        <v>38000</v>
      </c>
      <c r="O20" s="461">
        <f t="shared" si="3"/>
        <v>38000</v>
      </c>
      <c r="P20" s="462">
        <f>ROUND('Reduces Crashes'!E27,-3)</f>
        <v>1641000</v>
      </c>
      <c r="Q20" s="461">
        <f t="shared" si="4"/>
        <v>1641000</v>
      </c>
      <c r="R20" s="464">
        <f t="shared" si="5"/>
        <v>1785600</v>
      </c>
      <c r="S20" s="464">
        <f>ROUND(Costs!K19,-3)</f>
        <v>9000</v>
      </c>
    </row>
    <row r="21" spans="1:19" ht="15" customHeight="1" x14ac:dyDescent="0.25">
      <c r="A21" s="459">
        <v>2033</v>
      </c>
      <c r="B21" s="460">
        <f>ROUND('Roadway Maintenance Savings'!E18,-2)</f>
        <v>600</v>
      </c>
      <c r="C21" s="461">
        <f t="shared" si="0"/>
        <v>600</v>
      </c>
      <c r="D21" s="460">
        <f>ROUND('Congestion Savings'!E18,-3)</f>
        <v>43000</v>
      </c>
      <c r="E21" s="462">
        <f>ROUND('Vehicle Cost Savings'!E18,-3)</f>
        <v>25000</v>
      </c>
      <c r="F21" s="462">
        <f>ROUND('Reduced Fuel Consumption'!F19,-3)</f>
        <v>31000</v>
      </c>
      <c r="G21" s="461">
        <f t="shared" si="1"/>
        <v>99000</v>
      </c>
      <c r="H21" s="629"/>
      <c r="I21" s="630"/>
      <c r="J21" s="630"/>
      <c r="K21" s="630"/>
      <c r="L21" s="463">
        <v>0</v>
      </c>
      <c r="M21" s="461">
        <f t="shared" si="2"/>
        <v>0</v>
      </c>
      <c r="N21" s="460">
        <f>ROUND('Reduced Emissions'!U19,-3)</f>
        <v>38000</v>
      </c>
      <c r="O21" s="461">
        <f t="shared" si="3"/>
        <v>38000</v>
      </c>
      <c r="P21" s="462">
        <f>ROUND('Reduces Crashes'!E28,-3)</f>
        <v>1534000</v>
      </c>
      <c r="Q21" s="461">
        <f t="shared" si="4"/>
        <v>1534000</v>
      </c>
      <c r="R21" s="464">
        <f t="shared" si="5"/>
        <v>1671600</v>
      </c>
      <c r="S21" s="464">
        <f>ROUND(Costs!K20,-3)</f>
        <v>9000</v>
      </c>
    </row>
    <row r="22" spans="1:19" ht="15" customHeight="1" x14ac:dyDescent="0.25">
      <c r="A22" s="459">
        <v>2034</v>
      </c>
      <c r="B22" s="460">
        <f>ROUND('Roadway Maintenance Savings'!E19,-2)</f>
        <v>500</v>
      </c>
      <c r="C22" s="461">
        <f t="shared" si="0"/>
        <v>500</v>
      </c>
      <c r="D22" s="460">
        <f>ROUND('Congestion Savings'!E19,-3)</f>
        <v>41000</v>
      </c>
      <c r="E22" s="462">
        <f>ROUND('Vehicle Cost Savings'!E19,-3)</f>
        <v>24000</v>
      </c>
      <c r="F22" s="462">
        <f>ROUND('Reduced Fuel Consumption'!F20,-3)</f>
        <v>29000</v>
      </c>
      <c r="G22" s="461">
        <f t="shared" si="1"/>
        <v>94000</v>
      </c>
      <c r="H22" s="629"/>
      <c r="I22" s="630"/>
      <c r="J22" s="630"/>
      <c r="K22" s="630"/>
      <c r="L22" s="463">
        <v>0</v>
      </c>
      <c r="M22" s="461">
        <f t="shared" si="2"/>
        <v>0</v>
      </c>
      <c r="N22" s="460">
        <f>ROUND('Reduced Emissions'!U20,-3)</f>
        <v>39000</v>
      </c>
      <c r="O22" s="461">
        <f t="shared" si="3"/>
        <v>39000</v>
      </c>
      <c r="P22" s="462">
        <f>ROUND('Reduces Crashes'!E29,-3)</f>
        <v>1433000</v>
      </c>
      <c r="Q22" s="461">
        <f t="shared" si="4"/>
        <v>1433000</v>
      </c>
      <c r="R22" s="464">
        <f t="shared" si="5"/>
        <v>1566500</v>
      </c>
      <c r="S22" s="464">
        <f>ROUND(Costs!K21,-3)</f>
        <v>8000</v>
      </c>
    </row>
    <row r="23" spans="1:19" ht="15" customHeight="1" x14ac:dyDescent="0.25">
      <c r="A23" s="459">
        <v>2035</v>
      </c>
      <c r="B23" s="460">
        <f>ROUND('Roadway Maintenance Savings'!E20,-2)</f>
        <v>500</v>
      </c>
      <c r="C23" s="461">
        <f t="shared" si="0"/>
        <v>500</v>
      </c>
      <c r="D23" s="460">
        <f>ROUND('Congestion Savings'!E20,-3)</f>
        <v>39000</v>
      </c>
      <c r="E23" s="462">
        <f>ROUND('Vehicle Cost Savings'!E20,-3)</f>
        <v>23000</v>
      </c>
      <c r="F23" s="462">
        <f>ROUND('Reduced Fuel Consumption'!F21,-3)</f>
        <v>28000</v>
      </c>
      <c r="G23" s="461">
        <f t="shared" si="1"/>
        <v>90000</v>
      </c>
      <c r="H23" s="629"/>
      <c r="I23" s="630"/>
      <c r="J23" s="630"/>
      <c r="K23" s="630"/>
      <c r="L23" s="463">
        <v>0</v>
      </c>
      <c r="M23" s="461">
        <f t="shared" si="2"/>
        <v>0</v>
      </c>
      <c r="N23" s="460">
        <f>ROUND('Reduced Emissions'!U21,-3)</f>
        <v>39000</v>
      </c>
      <c r="O23" s="461">
        <f t="shared" si="3"/>
        <v>39000</v>
      </c>
      <c r="P23" s="462">
        <f>ROUND('Reduces Crashes'!E30,-3)</f>
        <v>1339000</v>
      </c>
      <c r="Q23" s="461">
        <f t="shared" si="4"/>
        <v>1339000</v>
      </c>
      <c r="R23" s="464">
        <f t="shared" si="5"/>
        <v>1468500</v>
      </c>
      <c r="S23" s="464">
        <f>ROUND(Costs!K22,-3)</f>
        <v>8000</v>
      </c>
    </row>
    <row r="24" spans="1:19" ht="15" customHeight="1" x14ac:dyDescent="0.25">
      <c r="A24" s="459">
        <v>2036</v>
      </c>
      <c r="B24" s="460">
        <f>ROUND('Roadway Maintenance Savings'!E21,-2)</f>
        <v>500</v>
      </c>
      <c r="C24" s="461">
        <f t="shared" si="0"/>
        <v>500</v>
      </c>
      <c r="D24" s="460">
        <f>ROUND('Congestion Savings'!E21,-3)</f>
        <v>36000</v>
      </c>
      <c r="E24" s="462">
        <f>ROUND('Vehicle Cost Savings'!E21,-3)</f>
        <v>21000</v>
      </c>
      <c r="F24" s="462">
        <f>ROUND('Reduced Fuel Consumption'!F22,-3)</f>
        <v>26000</v>
      </c>
      <c r="G24" s="461">
        <f t="shared" si="1"/>
        <v>83000</v>
      </c>
      <c r="H24" s="629"/>
      <c r="I24" s="630"/>
      <c r="J24" s="630"/>
      <c r="K24" s="630"/>
      <c r="L24" s="463">
        <v>0</v>
      </c>
      <c r="M24" s="461">
        <f t="shared" si="2"/>
        <v>0</v>
      </c>
      <c r="N24" s="460">
        <f>ROUND('Reduced Emissions'!U22,-3)</f>
        <v>39000</v>
      </c>
      <c r="O24" s="461">
        <f t="shared" si="3"/>
        <v>39000</v>
      </c>
      <c r="P24" s="462">
        <f>ROUND('Reduces Crashes'!E31,-3)</f>
        <v>1252000</v>
      </c>
      <c r="Q24" s="461">
        <f t="shared" si="4"/>
        <v>1252000</v>
      </c>
      <c r="R24" s="464">
        <f t="shared" si="5"/>
        <v>1374500</v>
      </c>
      <c r="S24" s="464">
        <f>ROUND(Costs!K23,-3)</f>
        <v>7000</v>
      </c>
    </row>
    <row r="25" spans="1:19" ht="15" customHeight="1" x14ac:dyDescent="0.25">
      <c r="A25" s="459">
        <v>2037</v>
      </c>
      <c r="B25" s="460">
        <f>ROUND('Roadway Maintenance Savings'!E22,-2)</f>
        <v>400</v>
      </c>
      <c r="C25" s="461">
        <f t="shared" si="0"/>
        <v>400</v>
      </c>
      <c r="D25" s="460">
        <f>ROUND('Congestion Savings'!E22,-3)</f>
        <v>34000</v>
      </c>
      <c r="E25" s="462">
        <f>ROUND('Vehicle Cost Savings'!E22,-3)</f>
        <v>20000</v>
      </c>
      <c r="F25" s="462">
        <f>ROUND('Reduced Fuel Consumption'!F23,-3)</f>
        <v>25000</v>
      </c>
      <c r="G25" s="461">
        <f t="shared" si="1"/>
        <v>79000</v>
      </c>
      <c r="H25" s="629"/>
      <c r="I25" s="630"/>
      <c r="J25" s="630"/>
      <c r="K25" s="630"/>
      <c r="L25" s="463">
        <v>0</v>
      </c>
      <c r="M25" s="461">
        <f t="shared" si="2"/>
        <v>0</v>
      </c>
      <c r="N25" s="460">
        <f>ROUND('Reduced Emissions'!U23,-3)</f>
        <v>40000</v>
      </c>
      <c r="O25" s="461">
        <f t="shared" si="3"/>
        <v>40000</v>
      </c>
      <c r="P25" s="462">
        <f>ROUND('Reduces Crashes'!E32,-3)</f>
        <v>1170000</v>
      </c>
      <c r="Q25" s="461">
        <f t="shared" si="4"/>
        <v>1170000</v>
      </c>
      <c r="R25" s="464">
        <f t="shared" si="5"/>
        <v>1289400</v>
      </c>
      <c r="S25" s="464">
        <f>ROUND(Costs!K24,-3)</f>
        <v>7000</v>
      </c>
    </row>
    <row r="26" spans="1:19" ht="15" customHeight="1" x14ac:dyDescent="0.25">
      <c r="A26" s="459">
        <v>2038</v>
      </c>
      <c r="B26" s="460">
        <f>ROUND('Roadway Maintenance Savings'!E23,-2)</f>
        <v>400</v>
      </c>
      <c r="C26" s="461">
        <f t="shared" si="0"/>
        <v>400</v>
      </c>
      <c r="D26" s="460">
        <f>ROUND('Congestion Savings'!E23,-3)</f>
        <v>33000</v>
      </c>
      <c r="E26" s="462">
        <f>ROUND('Vehicle Cost Savings'!E23,-3)</f>
        <v>19000</v>
      </c>
      <c r="F26" s="462">
        <f>ROUND('Reduced Fuel Consumption'!F24,-3)</f>
        <v>23000</v>
      </c>
      <c r="G26" s="461">
        <f t="shared" si="1"/>
        <v>75000</v>
      </c>
      <c r="H26" s="629"/>
      <c r="I26" s="630"/>
      <c r="J26" s="630"/>
      <c r="K26" s="630"/>
      <c r="L26" s="463">
        <v>0</v>
      </c>
      <c r="M26" s="461">
        <f t="shared" si="2"/>
        <v>0</v>
      </c>
      <c r="N26" s="460">
        <f>ROUND('Reduced Emissions'!U24,-3)</f>
        <v>40000</v>
      </c>
      <c r="O26" s="461">
        <f t="shared" si="3"/>
        <v>40000</v>
      </c>
      <c r="P26" s="462">
        <f>ROUND('Reduces Crashes'!E33,-3)</f>
        <v>1093000</v>
      </c>
      <c r="Q26" s="461">
        <f t="shared" si="4"/>
        <v>1093000</v>
      </c>
      <c r="R26" s="464">
        <f t="shared" si="5"/>
        <v>1208400</v>
      </c>
      <c r="S26" s="464">
        <f>ROUND(Costs!K25,-3)</f>
        <v>6000</v>
      </c>
    </row>
    <row r="27" spans="1:19" ht="15" customHeight="1" x14ac:dyDescent="0.25">
      <c r="A27" s="459">
        <v>2039</v>
      </c>
      <c r="B27" s="460">
        <f>ROUND('Roadway Maintenance Savings'!E24,-2)</f>
        <v>400</v>
      </c>
      <c r="C27" s="461">
        <f t="shared" si="0"/>
        <v>400</v>
      </c>
      <c r="D27" s="460">
        <f>ROUND('Congestion Savings'!E24,-3)</f>
        <v>31000</v>
      </c>
      <c r="E27" s="462">
        <f>ROUND('Vehicle Cost Savings'!E24,-3)</f>
        <v>18000</v>
      </c>
      <c r="F27" s="462">
        <f>ROUND('Reduced Fuel Consumption'!F25,-3)</f>
        <v>22000</v>
      </c>
      <c r="G27" s="461">
        <f t="shared" si="1"/>
        <v>71000</v>
      </c>
      <c r="H27" s="629"/>
      <c r="I27" s="630"/>
      <c r="J27" s="630"/>
      <c r="K27" s="630"/>
      <c r="L27" s="463">
        <v>0</v>
      </c>
      <c r="M27" s="461">
        <f t="shared" si="2"/>
        <v>0</v>
      </c>
      <c r="N27" s="460">
        <f>ROUND('Reduced Emissions'!U25,-3)</f>
        <v>41000</v>
      </c>
      <c r="O27" s="461">
        <f t="shared" si="3"/>
        <v>41000</v>
      </c>
      <c r="P27" s="462">
        <f>ROUND('Reduces Crashes'!E34,-3)</f>
        <v>1022000</v>
      </c>
      <c r="Q27" s="461">
        <f t="shared" si="4"/>
        <v>1022000</v>
      </c>
      <c r="R27" s="464">
        <f t="shared" si="5"/>
        <v>1134400</v>
      </c>
      <c r="S27" s="464">
        <f>ROUND(Costs!K26,-3)</f>
        <v>6000</v>
      </c>
    </row>
    <row r="28" spans="1:19" ht="15" customHeight="1" x14ac:dyDescent="0.25">
      <c r="A28" s="459">
        <v>2040</v>
      </c>
      <c r="B28" s="460">
        <f>ROUND('Roadway Maintenance Savings'!E25,-2)</f>
        <v>400</v>
      </c>
      <c r="C28" s="461">
        <f t="shared" si="0"/>
        <v>400</v>
      </c>
      <c r="D28" s="460">
        <f>ROUND('Congestion Savings'!E25,-3)</f>
        <v>29000</v>
      </c>
      <c r="E28" s="462">
        <f>ROUND('Vehicle Cost Savings'!E25,-3)</f>
        <v>17000</v>
      </c>
      <c r="F28" s="462">
        <f>ROUND('Reduced Fuel Consumption'!F26,-3)</f>
        <v>21000</v>
      </c>
      <c r="G28" s="461">
        <f t="shared" si="1"/>
        <v>67000</v>
      </c>
      <c r="H28" s="629"/>
      <c r="I28" s="630"/>
      <c r="J28" s="630"/>
      <c r="K28" s="630"/>
      <c r="L28" s="463">
        <v>0</v>
      </c>
      <c r="M28" s="461">
        <f t="shared" si="2"/>
        <v>0</v>
      </c>
      <c r="N28" s="460">
        <f>ROUND('Reduced Emissions'!U26,-3)</f>
        <v>42000</v>
      </c>
      <c r="O28" s="461">
        <f t="shared" si="3"/>
        <v>42000</v>
      </c>
      <c r="P28" s="462">
        <f>ROUND('Reduces Crashes'!E35,-3)</f>
        <v>955000</v>
      </c>
      <c r="Q28" s="461">
        <f t="shared" si="4"/>
        <v>955000</v>
      </c>
      <c r="R28" s="464">
        <f t="shared" si="5"/>
        <v>1064400</v>
      </c>
      <c r="S28" s="464">
        <f>ROUND(Costs!K27,-3)</f>
        <v>6000</v>
      </c>
    </row>
    <row r="29" spans="1:19" ht="15" customHeight="1" x14ac:dyDescent="0.25">
      <c r="A29" s="459">
        <v>2041</v>
      </c>
      <c r="B29" s="460">
        <f>ROUND('Roadway Maintenance Savings'!E26,-2)</f>
        <v>400</v>
      </c>
      <c r="C29" s="461">
        <f t="shared" si="0"/>
        <v>400</v>
      </c>
      <c r="D29" s="460">
        <f>ROUND('Congestion Savings'!E26,-3)</f>
        <v>27000</v>
      </c>
      <c r="E29" s="462">
        <f>ROUND('Vehicle Cost Savings'!E26,-3)</f>
        <v>16000</v>
      </c>
      <c r="F29" s="462">
        <f>ROUND('Reduced Fuel Consumption'!F27,-3)</f>
        <v>20000</v>
      </c>
      <c r="G29" s="461">
        <f t="shared" si="1"/>
        <v>63000</v>
      </c>
      <c r="H29" s="629"/>
      <c r="I29" s="630"/>
      <c r="J29" s="630"/>
      <c r="K29" s="630"/>
      <c r="L29" s="463">
        <v>0</v>
      </c>
      <c r="M29" s="461">
        <f t="shared" si="2"/>
        <v>0</v>
      </c>
      <c r="N29" s="460">
        <f>ROUND('Reduced Emissions'!U27,-3)</f>
        <v>42000</v>
      </c>
      <c r="O29" s="461">
        <f t="shared" si="3"/>
        <v>42000</v>
      </c>
      <c r="P29" s="462">
        <f>ROUND('Reduces Crashes'!E36,-3)</f>
        <v>893000</v>
      </c>
      <c r="Q29" s="461">
        <f t="shared" si="4"/>
        <v>893000</v>
      </c>
      <c r="R29" s="464">
        <f t="shared" si="5"/>
        <v>998400</v>
      </c>
      <c r="S29" s="464">
        <f>ROUND(Costs!K28,-3)</f>
        <v>5000</v>
      </c>
    </row>
    <row r="30" spans="1:19" ht="15" customHeight="1" x14ac:dyDescent="0.25">
      <c r="A30" s="459">
        <v>2042</v>
      </c>
      <c r="B30" s="460">
        <f>ROUND('Roadway Maintenance Savings'!E27,-2)</f>
        <v>300</v>
      </c>
      <c r="C30" s="461">
        <f t="shared" si="0"/>
        <v>300</v>
      </c>
      <c r="D30" s="460">
        <f>ROUND('Congestion Savings'!E27,-3)</f>
        <v>26000</v>
      </c>
      <c r="E30" s="462">
        <f>ROUND('Vehicle Cost Savings'!E27,-3)</f>
        <v>15000</v>
      </c>
      <c r="F30" s="462">
        <f>ROUND('Reduced Fuel Consumption'!F28,-3)</f>
        <v>19000</v>
      </c>
      <c r="G30" s="461">
        <f t="shared" si="1"/>
        <v>60000</v>
      </c>
      <c r="H30" s="629"/>
      <c r="I30" s="630"/>
      <c r="J30" s="630"/>
      <c r="K30" s="630"/>
      <c r="L30" s="463">
        <v>0</v>
      </c>
      <c r="M30" s="461">
        <f t="shared" si="2"/>
        <v>0</v>
      </c>
      <c r="N30" s="460">
        <f>ROUND('Reduced Emissions'!U28,-3)</f>
        <v>42000</v>
      </c>
      <c r="O30" s="461">
        <f t="shared" si="3"/>
        <v>42000</v>
      </c>
      <c r="P30" s="462">
        <f>ROUND('Reduces Crashes'!E37,-3)</f>
        <v>834000</v>
      </c>
      <c r="Q30" s="461">
        <f t="shared" si="4"/>
        <v>834000</v>
      </c>
      <c r="R30" s="464">
        <f t="shared" si="5"/>
        <v>936300</v>
      </c>
      <c r="S30" s="464">
        <f>ROUND(Costs!K29,-3)</f>
        <v>5000</v>
      </c>
    </row>
    <row r="31" spans="1:19" ht="15" customHeight="1" x14ac:dyDescent="0.25">
      <c r="A31" s="459">
        <v>2043</v>
      </c>
      <c r="B31" s="460">
        <f>ROUND('Roadway Maintenance Savings'!E28,-2)</f>
        <v>300</v>
      </c>
      <c r="C31" s="461">
        <f t="shared" si="0"/>
        <v>300</v>
      </c>
      <c r="D31" s="460">
        <f>ROUND('Congestion Savings'!E28,-3)</f>
        <v>25000</v>
      </c>
      <c r="E31" s="462">
        <f>ROUND('Vehicle Cost Savings'!E28,-3)</f>
        <v>14000</v>
      </c>
      <c r="F31" s="462">
        <f>ROUND('Reduced Fuel Consumption'!F29,-3)</f>
        <v>18000</v>
      </c>
      <c r="G31" s="461">
        <f t="shared" si="1"/>
        <v>57000</v>
      </c>
      <c r="H31" s="629"/>
      <c r="I31" s="630"/>
      <c r="J31" s="630"/>
      <c r="K31" s="630"/>
      <c r="L31" s="463">
        <v>0</v>
      </c>
      <c r="M31" s="461">
        <f t="shared" si="2"/>
        <v>0</v>
      </c>
      <c r="N31" s="460">
        <f>ROUND('Reduced Emissions'!U29,-3)</f>
        <v>43000</v>
      </c>
      <c r="O31" s="461">
        <f t="shared" si="3"/>
        <v>43000</v>
      </c>
      <c r="P31" s="462">
        <f>ROUND('Reduces Crashes'!E38,-3)</f>
        <v>780000</v>
      </c>
      <c r="Q31" s="461">
        <f t="shared" si="4"/>
        <v>780000</v>
      </c>
      <c r="R31" s="464">
        <f t="shared" si="5"/>
        <v>880300</v>
      </c>
      <c r="S31" s="464">
        <f>ROUND(Costs!K30,-3)</f>
        <v>5000</v>
      </c>
    </row>
    <row r="32" spans="1:19" ht="15" customHeight="1" x14ac:dyDescent="0.25">
      <c r="A32" s="459">
        <v>2044</v>
      </c>
      <c r="B32" s="460">
        <f>ROUND('Roadway Maintenance Savings'!E29,-2)</f>
        <v>300</v>
      </c>
      <c r="C32" s="461">
        <f t="shared" si="0"/>
        <v>300</v>
      </c>
      <c r="D32" s="460">
        <f>ROUND('Congestion Savings'!E29,-3)</f>
        <v>23000</v>
      </c>
      <c r="E32" s="462">
        <f>ROUND('Vehicle Cost Savings'!E29,-3)</f>
        <v>14000</v>
      </c>
      <c r="F32" s="462">
        <f>ROUND('Reduced Fuel Consumption'!F30,-3)</f>
        <v>17000</v>
      </c>
      <c r="G32" s="461">
        <f t="shared" si="1"/>
        <v>54000</v>
      </c>
      <c r="H32" s="629"/>
      <c r="I32" s="630"/>
      <c r="J32" s="630"/>
      <c r="K32" s="630"/>
      <c r="L32" s="463">
        <v>0</v>
      </c>
      <c r="M32" s="461">
        <f t="shared" si="2"/>
        <v>0</v>
      </c>
      <c r="N32" s="460">
        <f>ROUND('Reduced Emissions'!U30,-3)</f>
        <v>43000</v>
      </c>
      <c r="O32" s="461">
        <f t="shared" si="3"/>
        <v>43000</v>
      </c>
      <c r="P32" s="462">
        <f>ROUND('Reduces Crashes'!E39,-3)</f>
        <v>729000</v>
      </c>
      <c r="Q32" s="461">
        <f t="shared" si="4"/>
        <v>729000</v>
      </c>
      <c r="R32" s="464">
        <f t="shared" si="5"/>
        <v>826300</v>
      </c>
      <c r="S32" s="464">
        <f>ROUND(Costs!K31,-3)</f>
        <v>4000</v>
      </c>
    </row>
    <row r="33" spans="1:20" ht="15" customHeight="1" x14ac:dyDescent="0.25">
      <c r="A33" s="459">
        <v>2045</v>
      </c>
      <c r="B33" s="460">
        <f>ROUND('Roadway Maintenance Savings'!E30,-2)</f>
        <v>300</v>
      </c>
      <c r="C33" s="461">
        <f t="shared" si="0"/>
        <v>300</v>
      </c>
      <c r="D33" s="460">
        <f>ROUND('Congestion Savings'!E30,-3)</f>
        <v>22000</v>
      </c>
      <c r="E33" s="462">
        <f>ROUND('Vehicle Cost Savings'!E30,-3)</f>
        <v>13000</v>
      </c>
      <c r="F33" s="462">
        <f>ROUND('Reduced Fuel Consumption'!F31,-3)</f>
        <v>16000</v>
      </c>
      <c r="G33" s="461">
        <f t="shared" si="1"/>
        <v>51000</v>
      </c>
      <c r="H33" s="629"/>
      <c r="I33" s="630"/>
      <c r="J33" s="630"/>
      <c r="K33" s="630"/>
      <c r="L33" s="463">
        <v>0</v>
      </c>
      <c r="M33" s="461">
        <f t="shared" si="2"/>
        <v>0</v>
      </c>
      <c r="N33" s="460">
        <f>ROUND('Reduced Emissions'!U31,-3)</f>
        <v>44000</v>
      </c>
      <c r="O33" s="461">
        <f t="shared" si="3"/>
        <v>44000</v>
      </c>
      <c r="P33" s="462">
        <f>ROUND('Reduces Crashes'!E40,-3)</f>
        <v>681000</v>
      </c>
      <c r="Q33" s="461">
        <f t="shared" si="4"/>
        <v>681000</v>
      </c>
      <c r="R33" s="464">
        <f t="shared" si="5"/>
        <v>776300</v>
      </c>
      <c r="S33" s="464">
        <f>ROUND(Costs!K32,-3)</f>
        <v>4000</v>
      </c>
    </row>
    <row r="34" spans="1:20" ht="15" customHeight="1" x14ac:dyDescent="0.25">
      <c r="A34" s="459">
        <v>2046</v>
      </c>
      <c r="B34" s="460">
        <f>ROUND('Roadway Maintenance Savings'!E31,-2)</f>
        <v>300</v>
      </c>
      <c r="C34" s="461">
        <f t="shared" si="0"/>
        <v>300</v>
      </c>
      <c r="D34" s="460">
        <f>ROUND('Congestion Savings'!E31,-3)</f>
        <v>21000</v>
      </c>
      <c r="E34" s="462">
        <f>ROUND('Vehicle Cost Savings'!E31,-3)</f>
        <v>12000</v>
      </c>
      <c r="F34" s="462">
        <f>ROUND('Reduced Fuel Consumption'!F32,-3)</f>
        <v>15000</v>
      </c>
      <c r="G34" s="461">
        <f t="shared" si="1"/>
        <v>48000</v>
      </c>
      <c r="H34" s="629"/>
      <c r="I34" s="630"/>
      <c r="J34" s="630"/>
      <c r="K34" s="630"/>
      <c r="L34" s="463">
        <v>0</v>
      </c>
      <c r="M34" s="461">
        <f t="shared" si="2"/>
        <v>0</v>
      </c>
      <c r="N34" s="460">
        <f>ROUND('Reduced Emissions'!U32,-3)</f>
        <v>45000</v>
      </c>
      <c r="O34" s="461">
        <f t="shared" si="3"/>
        <v>45000</v>
      </c>
      <c r="P34" s="462">
        <f>ROUND('Reduces Crashes'!E41,-3)</f>
        <v>636000</v>
      </c>
      <c r="Q34" s="461">
        <f t="shared" si="4"/>
        <v>636000</v>
      </c>
      <c r="R34" s="464">
        <f t="shared" si="5"/>
        <v>729300</v>
      </c>
      <c r="S34" s="464">
        <f>ROUND(Costs!K33,-3)</f>
        <v>4000</v>
      </c>
    </row>
    <row r="35" spans="1:20" ht="15" customHeight="1" x14ac:dyDescent="0.25">
      <c r="A35" s="459">
        <v>2047</v>
      </c>
      <c r="B35" s="460">
        <f>ROUND('Roadway Maintenance Savings'!E32,-2)</f>
        <v>300</v>
      </c>
      <c r="C35" s="461">
        <f t="shared" si="0"/>
        <v>300</v>
      </c>
      <c r="D35" s="460">
        <f>ROUND('Congestion Savings'!E32,-3)</f>
        <v>20000</v>
      </c>
      <c r="E35" s="462">
        <f>ROUND('Vehicle Cost Savings'!E32,-3)</f>
        <v>11000</v>
      </c>
      <c r="F35" s="462">
        <f>ROUND('Reduced Fuel Consumption'!F33,-3)</f>
        <v>14000</v>
      </c>
      <c r="G35" s="461">
        <f t="shared" si="1"/>
        <v>45000</v>
      </c>
      <c r="H35" s="629"/>
      <c r="I35" s="630"/>
      <c r="J35" s="630"/>
      <c r="K35" s="630"/>
      <c r="L35" s="463">
        <v>0</v>
      </c>
      <c r="M35" s="461">
        <f t="shared" si="2"/>
        <v>0</v>
      </c>
      <c r="N35" s="460">
        <f>ROUND('Reduced Emissions'!U33,-3)</f>
        <v>46000</v>
      </c>
      <c r="O35" s="461">
        <f t="shared" si="3"/>
        <v>46000</v>
      </c>
      <c r="P35" s="462">
        <f>ROUND('Reduces Crashes'!E42,-3)</f>
        <v>595000</v>
      </c>
      <c r="Q35" s="461">
        <f t="shared" si="4"/>
        <v>595000</v>
      </c>
      <c r="R35" s="464">
        <f t="shared" si="5"/>
        <v>686300</v>
      </c>
      <c r="S35" s="464">
        <f>ROUND(Costs!K34,-3)</f>
        <v>3000</v>
      </c>
    </row>
    <row r="36" spans="1:20" ht="15" customHeight="1" x14ac:dyDescent="0.25">
      <c r="A36" s="459">
        <v>2048</v>
      </c>
      <c r="B36" s="460">
        <f>ROUND('Roadway Maintenance Savings'!E33,-2)</f>
        <v>200</v>
      </c>
      <c r="C36" s="461">
        <f t="shared" si="0"/>
        <v>200</v>
      </c>
      <c r="D36" s="460">
        <f>ROUND('Congestion Savings'!E33,-3)</f>
        <v>19000</v>
      </c>
      <c r="E36" s="462">
        <f>ROUND('Vehicle Cost Savings'!E33,-3)</f>
        <v>11000</v>
      </c>
      <c r="F36" s="462">
        <f>ROUND('Reduced Fuel Consumption'!F34,-3)</f>
        <v>13000</v>
      </c>
      <c r="G36" s="461">
        <f t="shared" si="1"/>
        <v>43000</v>
      </c>
      <c r="H36" s="629"/>
      <c r="I36" s="630"/>
      <c r="J36" s="630"/>
      <c r="K36" s="630"/>
      <c r="L36" s="463">
        <v>0</v>
      </c>
      <c r="M36" s="461">
        <f t="shared" si="2"/>
        <v>0</v>
      </c>
      <c r="N36" s="460">
        <f>ROUND('Reduced Emissions'!U34,-3)</f>
        <v>47000</v>
      </c>
      <c r="O36" s="461">
        <f t="shared" si="3"/>
        <v>47000</v>
      </c>
      <c r="P36" s="462">
        <f>ROUND('Reduces Crashes'!E43,-3)</f>
        <v>556000</v>
      </c>
      <c r="Q36" s="461">
        <f t="shared" si="4"/>
        <v>556000</v>
      </c>
      <c r="R36" s="464">
        <f t="shared" si="5"/>
        <v>646200</v>
      </c>
      <c r="S36" s="464">
        <f>ROUND(Costs!K35,-3)</f>
        <v>3000</v>
      </c>
    </row>
    <row r="37" spans="1:20" ht="15.75" customHeight="1" thickBot="1" x14ac:dyDescent="0.3">
      <c r="A37" s="459">
        <v>2049</v>
      </c>
      <c r="B37" s="460">
        <f>ROUND('Roadway Maintenance Savings'!E34,-2)</f>
        <v>200</v>
      </c>
      <c r="C37" s="461">
        <f t="shared" si="0"/>
        <v>200</v>
      </c>
      <c r="D37" s="460">
        <f>ROUND('Congestion Savings'!E34,-3)</f>
        <v>17000</v>
      </c>
      <c r="E37" s="462">
        <f>ROUND('Vehicle Cost Savings'!E34,-3)</f>
        <v>10000</v>
      </c>
      <c r="F37" s="462">
        <f>ROUND('Reduced Fuel Consumption'!F35,-3)</f>
        <v>13000</v>
      </c>
      <c r="G37" s="461">
        <f t="shared" si="1"/>
        <v>40000</v>
      </c>
      <c r="H37" s="629"/>
      <c r="I37" s="630"/>
      <c r="J37" s="630"/>
      <c r="K37" s="634"/>
      <c r="L37" s="463">
        <v>0</v>
      </c>
      <c r="M37" s="461">
        <f t="shared" si="2"/>
        <v>0</v>
      </c>
      <c r="N37" s="460">
        <f>ROUND('Reduced Emissions'!U35,-3)</f>
        <v>48000</v>
      </c>
      <c r="O37" s="461">
        <f t="shared" si="3"/>
        <v>48000</v>
      </c>
      <c r="P37" s="462">
        <f>ROUND('Reduces Crashes'!E44,-3)</f>
        <v>519000</v>
      </c>
      <c r="Q37" s="461">
        <f t="shared" si="4"/>
        <v>519000</v>
      </c>
      <c r="R37" s="464">
        <f t="shared" si="5"/>
        <v>607200</v>
      </c>
      <c r="S37" s="464">
        <f>ROUND(Costs!K36,-3)</f>
        <v>-947000</v>
      </c>
    </row>
    <row r="38" spans="1:20" ht="15.75" thickBot="1" x14ac:dyDescent="0.3">
      <c r="A38" s="465" t="s">
        <v>165</v>
      </c>
      <c r="B38" s="466">
        <f t="shared" ref="B38:G38" si="6">SUM(B6:B37)</f>
        <v>17300</v>
      </c>
      <c r="C38" s="467">
        <f t="shared" si="6"/>
        <v>17300</v>
      </c>
      <c r="D38" s="466">
        <f t="shared" si="6"/>
        <v>1338000</v>
      </c>
      <c r="E38" s="468">
        <f t="shared" si="6"/>
        <v>785000</v>
      </c>
      <c r="F38" s="468">
        <f t="shared" si="6"/>
        <v>965000</v>
      </c>
      <c r="G38" s="467">
        <f t="shared" si="6"/>
        <v>3088000</v>
      </c>
      <c r="H38" s="631"/>
      <c r="I38" s="632"/>
      <c r="J38" s="632"/>
      <c r="K38" s="595"/>
      <c r="L38" s="469">
        <f>SUM(L4:L37)</f>
        <v>3464000</v>
      </c>
      <c r="M38" s="467">
        <f t="shared" ref="M38:R38" si="7">SUM(M6:M37)</f>
        <v>3464000</v>
      </c>
      <c r="N38" s="466">
        <f t="shared" si="7"/>
        <v>1215000</v>
      </c>
      <c r="O38" s="467">
        <f t="shared" si="7"/>
        <v>1215000</v>
      </c>
      <c r="P38" s="468">
        <f t="shared" si="7"/>
        <v>49071000</v>
      </c>
      <c r="Q38" s="467">
        <f t="shared" si="7"/>
        <v>49071000</v>
      </c>
      <c r="R38" s="470">
        <f t="shared" si="7"/>
        <v>56855300</v>
      </c>
      <c r="S38" s="471">
        <f>SUM(S4:S37)</f>
        <v>17259000</v>
      </c>
      <c r="T38" s="472">
        <f>R38-S38</f>
        <v>39596300</v>
      </c>
    </row>
    <row r="39" spans="1:20" ht="15.75" thickBot="1" x14ac:dyDescent="0.3">
      <c r="A39" s="618" t="s">
        <v>809</v>
      </c>
      <c r="B39" s="619"/>
      <c r="C39" s="619"/>
      <c r="D39" s="619"/>
      <c r="E39" s="619"/>
      <c r="F39" s="619"/>
      <c r="G39" s="619"/>
      <c r="H39" s="619"/>
      <c r="I39" s="619"/>
      <c r="J39" s="619"/>
      <c r="K39" s="619"/>
      <c r="L39" s="619"/>
      <c r="M39" s="619"/>
      <c r="N39" s="619"/>
      <c r="O39" s="619"/>
      <c r="P39" s="619"/>
      <c r="Q39" s="620"/>
      <c r="R39" s="473" t="s">
        <v>291</v>
      </c>
      <c r="S39" s="474">
        <f>R38/S38</f>
        <v>3.2942406860188886</v>
      </c>
    </row>
    <row r="40" spans="1:20" ht="43.5" customHeight="1" thickBot="1" x14ac:dyDescent="0.3">
      <c r="A40" s="621"/>
      <c r="B40" s="621"/>
      <c r="C40" s="621"/>
      <c r="D40" s="621"/>
      <c r="E40" s="621"/>
      <c r="F40" s="621"/>
      <c r="G40" s="621"/>
      <c r="H40" s="621"/>
      <c r="I40" s="621"/>
      <c r="J40" s="621"/>
      <c r="K40" s="621"/>
      <c r="L40" s="621"/>
      <c r="M40" s="621"/>
      <c r="N40" s="621"/>
      <c r="O40" s="621"/>
      <c r="P40" s="621"/>
      <c r="Q40" s="622"/>
      <c r="R40" s="452" t="s">
        <v>396</v>
      </c>
      <c r="S40" s="475">
        <f>R38/Costs!Q37</f>
        <v>4.083891472997399</v>
      </c>
    </row>
    <row r="42" spans="1:20" x14ac:dyDescent="0.25">
      <c r="B42" s="477">
        <f>SUM(B38,D38,E38,F38)</f>
        <v>3105300</v>
      </c>
      <c r="I42" s="476">
        <f>'Recreational Benefits'!Y36+'Health Benefits '!E35+'Mobility Benefits'!U35</f>
        <v>23176203</v>
      </c>
    </row>
    <row r="45" spans="1:20" x14ac:dyDescent="0.25">
      <c r="P45" s="477"/>
      <c r="S45" s="477"/>
    </row>
    <row r="46" spans="1:20" x14ac:dyDescent="0.25">
      <c r="R46" s="477"/>
    </row>
  </sheetData>
  <sheetProtection password="891C" sheet="1" objects="1" scenarios="1"/>
  <mergeCells count="12">
    <mergeCell ref="S2:S3"/>
    <mergeCell ref="D2:G2"/>
    <mergeCell ref="B2:C2"/>
    <mergeCell ref="H2:M2"/>
    <mergeCell ref="N2:O2"/>
    <mergeCell ref="A39:Q40"/>
    <mergeCell ref="P2:Q2"/>
    <mergeCell ref="R2:R3"/>
    <mergeCell ref="A2:A3"/>
    <mergeCell ref="H4:J37"/>
    <mergeCell ref="H38:J38"/>
    <mergeCell ref="K4:K37"/>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topLeftCell="N42" zoomScale="80" zoomScaleNormal="80" workbookViewId="0">
      <selection activeCell="Z73" sqref="Z73"/>
    </sheetView>
  </sheetViews>
  <sheetFormatPr defaultRowHeight="15" x14ac:dyDescent="0.25"/>
  <cols>
    <col min="1" max="1" width="9.140625" style="31"/>
    <col min="2" max="2" width="12.7109375" style="30" customWidth="1"/>
    <col min="3" max="5" width="12.7109375" style="11" customWidth="1"/>
    <col min="6" max="8" width="12.7109375" style="29" customWidth="1"/>
    <col min="9" max="9" width="12.7109375" style="11" customWidth="1"/>
    <col min="10" max="10" width="12.7109375" style="31" customWidth="1"/>
    <col min="11" max="12" width="12.7109375" style="29" customWidth="1"/>
    <col min="13" max="13" width="12.7109375" style="30" customWidth="1"/>
    <col min="14" max="16" width="12.7109375" style="11" customWidth="1"/>
    <col min="17" max="18" width="12.7109375" style="29" customWidth="1"/>
    <col min="19" max="19" width="14.85546875" style="29" customWidth="1"/>
    <col min="20" max="21" width="12.7109375" style="11" customWidth="1"/>
    <col min="22" max="23" width="12.7109375" style="29" customWidth="1"/>
    <col min="24" max="24" width="12.7109375" style="31" customWidth="1"/>
    <col min="25" max="25" width="12.7109375" style="29" customWidth="1"/>
    <col min="26" max="16384" width="9.140625" style="31"/>
  </cols>
  <sheetData>
    <row r="1" spans="1:25" ht="15.75" thickBot="1" x14ac:dyDescent="0.3">
      <c r="A1" s="674" t="s">
        <v>132</v>
      </c>
      <c r="B1" s="676" t="s">
        <v>166</v>
      </c>
      <c r="C1" s="677"/>
      <c r="D1" s="677"/>
      <c r="E1" s="677"/>
      <c r="F1" s="677"/>
      <c r="G1" s="677"/>
      <c r="H1" s="677"/>
      <c r="I1" s="677"/>
      <c r="J1" s="677"/>
      <c r="K1" s="677"/>
      <c r="L1" s="678"/>
      <c r="M1" s="679" t="s">
        <v>172</v>
      </c>
      <c r="N1" s="680"/>
      <c r="O1" s="680"/>
      <c r="P1" s="680"/>
      <c r="Q1" s="680"/>
      <c r="R1" s="680"/>
      <c r="S1" s="680"/>
      <c r="T1" s="680"/>
      <c r="U1" s="680"/>
      <c r="V1" s="680"/>
      <c r="W1" s="681"/>
      <c r="X1" s="682" t="s">
        <v>188</v>
      </c>
      <c r="Y1" s="683"/>
    </row>
    <row r="2" spans="1:25" ht="15.75" thickBot="1" x14ac:dyDescent="0.3">
      <c r="A2" s="675"/>
      <c r="B2" s="686" t="s">
        <v>192</v>
      </c>
      <c r="C2" s="687"/>
      <c r="D2" s="687"/>
      <c r="E2" s="687"/>
      <c r="F2" s="687"/>
      <c r="G2" s="688"/>
      <c r="H2" s="689" t="s">
        <v>195</v>
      </c>
      <c r="I2" s="690"/>
      <c r="J2" s="690"/>
      <c r="K2" s="690"/>
      <c r="L2" s="691"/>
      <c r="M2" s="692" t="s">
        <v>192</v>
      </c>
      <c r="N2" s="693"/>
      <c r="O2" s="693"/>
      <c r="P2" s="693"/>
      <c r="Q2" s="693"/>
      <c r="R2" s="694"/>
      <c r="S2" s="692" t="s">
        <v>105</v>
      </c>
      <c r="T2" s="693"/>
      <c r="U2" s="693"/>
      <c r="V2" s="693"/>
      <c r="W2" s="694"/>
      <c r="X2" s="684"/>
      <c r="Y2" s="685"/>
    </row>
    <row r="3" spans="1:25" s="32" customFormat="1" ht="60" x14ac:dyDescent="0.25">
      <c r="A3" s="675"/>
      <c r="B3" s="128" t="s">
        <v>793</v>
      </c>
      <c r="C3" s="49" t="s">
        <v>189</v>
      </c>
      <c r="D3" s="49" t="s">
        <v>363</v>
      </c>
      <c r="E3" s="49" t="s">
        <v>190</v>
      </c>
      <c r="F3" s="102" t="s">
        <v>191</v>
      </c>
      <c r="G3" s="129" t="s">
        <v>792</v>
      </c>
      <c r="H3" s="131" t="s">
        <v>794</v>
      </c>
      <c r="I3" s="49" t="s">
        <v>193</v>
      </c>
      <c r="J3" s="101" t="s">
        <v>194</v>
      </c>
      <c r="K3" s="102" t="s">
        <v>191</v>
      </c>
      <c r="L3" s="129" t="s">
        <v>792</v>
      </c>
      <c r="M3" s="128" t="s">
        <v>793</v>
      </c>
      <c r="N3" s="49" t="s">
        <v>196</v>
      </c>
      <c r="O3" s="49" t="s">
        <v>364</v>
      </c>
      <c r="P3" s="49" t="s">
        <v>190</v>
      </c>
      <c r="Q3" s="102" t="s">
        <v>191</v>
      </c>
      <c r="R3" s="129" t="s">
        <v>197</v>
      </c>
      <c r="S3" s="131" t="s">
        <v>198</v>
      </c>
      <c r="T3" s="49" t="s">
        <v>193</v>
      </c>
      <c r="U3" s="49" t="s">
        <v>196</v>
      </c>
      <c r="V3" s="102" t="s">
        <v>191</v>
      </c>
      <c r="W3" s="129" t="s">
        <v>795</v>
      </c>
      <c r="X3" s="138" t="s">
        <v>191</v>
      </c>
      <c r="Y3" s="140" t="s">
        <v>792</v>
      </c>
    </row>
    <row r="4" spans="1:25" x14ac:dyDescent="0.25">
      <c r="A4" s="127">
        <v>2018</v>
      </c>
      <c r="B4" s="130">
        <f>Inputs!$B$65</f>
        <v>12.149739716675199</v>
      </c>
      <c r="C4" s="50">
        <f>Inputs!$B$20</f>
        <v>333</v>
      </c>
      <c r="D4" s="93">
        <v>0.5</v>
      </c>
      <c r="E4" s="50">
        <f>'Bicycle Users'!L7</f>
        <v>0</v>
      </c>
      <c r="F4" s="87">
        <f>E4*B4*C4*D4</f>
        <v>0</v>
      </c>
      <c r="G4" s="123">
        <f>ROUND(F4/((1+Inputs!$B$3)^($A4-2016)),0)</f>
        <v>0</v>
      </c>
      <c r="H4" s="130">
        <f>Inputs!$B$69</f>
        <v>6.5636254328475241</v>
      </c>
      <c r="I4" s="50">
        <v>0</v>
      </c>
      <c r="J4" s="67">
        <f>Inputs!$B$20</f>
        <v>333</v>
      </c>
      <c r="K4" s="87">
        <f>H4*I4*J4</f>
        <v>0</v>
      </c>
      <c r="L4" s="123">
        <f>ROUND(K4/((1+Inputs!$B$3)^($A4-2016)),0)</f>
        <v>0</v>
      </c>
      <c r="M4" s="130">
        <f>Inputs!$B$67</f>
        <v>12.149739716675199</v>
      </c>
      <c r="N4" s="50">
        <f>Inputs!$B$20</f>
        <v>333</v>
      </c>
      <c r="O4" s="108">
        <v>0.5</v>
      </c>
      <c r="P4" s="50">
        <f>'Pedestrian Users'!M7</f>
        <v>0</v>
      </c>
      <c r="Q4" s="87">
        <f>M4*N4*O4*P4</f>
        <v>0</v>
      </c>
      <c r="R4" s="123">
        <f>ROUND(Q4/((1+Inputs!$B$3)^($A4-2016)),0)</f>
        <v>0</v>
      </c>
      <c r="S4" s="130">
        <f>Inputs!$B$70</f>
        <v>0.57098024197734365</v>
      </c>
      <c r="T4" s="50">
        <v>0</v>
      </c>
      <c r="U4" s="50">
        <f>Inputs!$B$20</f>
        <v>333</v>
      </c>
      <c r="V4" s="87">
        <f>S4*T4*U4</f>
        <v>0</v>
      </c>
      <c r="W4" s="123">
        <f>ROUND(V4/((1+Inputs!$B$3)^($A4-2016)),0)</f>
        <v>0</v>
      </c>
      <c r="X4" s="139">
        <f>SUM(F4,K4,Q4,V4)</f>
        <v>0</v>
      </c>
      <c r="Y4" s="57">
        <f>ROUND(X4/((1+Inputs!$B$3)^($A4-2016)),0)</f>
        <v>0</v>
      </c>
    </row>
    <row r="5" spans="1:25" x14ac:dyDescent="0.25">
      <c r="A5" s="127">
        <v>2019</v>
      </c>
      <c r="B5" s="130">
        <f>Inputs!$B$65</f>
        <v>12.149739716675199</v>
      </c>
      <c r="C5" s="50">
        <f>Inputs!$B$20</f>
        <v>333</v>
      </c>
      <c r="D5" s="93">
        <v>0.5</v>
      </c>
      <c r="E5" s="50">
        <f>'Bicycle Users'!L8</f>
        <v>0</v>
      </c>
      <c r="F5" s="87">
        <f t="shared" ref="F5:F33" si="0">E5*B5*C5*D5</f>
        <v>0</v>
      </c>
      <c r="G5" s="123">
        <f>ROUND(F5/((1+Inputs!$B$3)^($A5-2016)),0)</f>
        <v>0</v>
      </c>
      <c r="H5" s="130">
        <f>Inputs!$B$69</f>
        <v>6.5636254328475241</v>
      </c>
      <c r="I5" s="50">
        <v>0</v>
      </c>
      <c r="J5" s="67">
        <f>Inputs!$B$20</f>
        <v>333</v>
      </c>
      <c r="K5" s="87">
        <f t="shared" ref="K5:K33" si="1">H5*I5*J5</f>
        <v>0</v>
      </c>
      <c r="L5" s="123">
        <f>ROUND(K5/((1+Inputs!$B$3)^($A5-2016)),0)</f>
        <v>0</v>
      </c>
      <c r="M5" s="130">
        <f>Inputs!$B$67</f>
        <v>12.149739716675199</v>
      </c>
      <c r="N5" s="50">
        <f>Inputs!$B$20</f>
        <v>333</v>
      </c>
      <c r="O5" s="108">
        <v>0.5</v>
      </c>
      <c r="P5" s="50">
        <f>'Pedestrian Users'!M8</f>
        <v>0</v>
      </c>
      <c r="Q5" s="87">
        <f t="shared" ref="Q5:Q33" si="2">M5*N5*O5*P5</f>
        <v>0</v>
      </c>
      <c r="R5" s="123">
        <f>ROUND(Q5/((1+Inputs!$B$3)^($A5-2016)),0)</f>
        <v>0</v>
      </c>
      <c r="S5" s="130">
        <f>Inputs!$B$70</f>
        <v>0.57098024197734365</v>
      </c>
      <c r="T5" s="50">
        <v>0</v>
      </c>
      <c r="U5" s="50">
        <f>Inputs!$B$20</f>
        <v>333</v>
      </c>
      <c r="V5" s="87">
        <f t="shared" ref="V5:V33" si="3">S5*T5*U5</f>
        <v>0</v>
      </c>
      <c r="W5" s="123">
        <f>ROUND(V5/((1+Inputs!$B$3)^($A5-2016)),0)</f>
        <v>0</v>
      </c>
      <c r="X5" s="139">
        <f t="shared" ref="X5:X33" si="4">SUM(F5,K5,Q5,V5)</f>
        <v>0</v>
      </c>
      <c r="Y5" s="57">
        <f>ROUND(X5/((1+Inputs!$B$3)^($A5-2016)),0)</f>
        <v>0</v>
      </c>
    </row>
    <row r="6" spans="1:25" x14ac:dyDescent="0.25">
      <c r="A6" s="127">
        <v>2020</v>
      </c>
      <c r="B6" s="130">
        <f>Inputs!$B$65</f>
        <v>12.149739716675199</v>
      </c>
      <c r="C6" s="50">
        <f>Inputs!$B$20</f>
        <v>333</v>
      </c>
      <c r="D6" s="93">
        <v>0.5</v>
      </c>
      <c r="E6" s="50">
        <f>'Bicycle Users'!L9</f>
        <v>59.165533562259668</v>
      </c>
      <c r="F6" s="87">
        <f t="shared" si="0"/>
        <v>119687.83119111435</v>
      </c>
      <c r="G6" s="123">
        <f>ROUND(F6/((1+Inputs!$B$3)^($A6-2016)),0)</f>
        <v>91309</v>
      </c>
      <c r="H6" s="130">
        <f>Inputs!$B$69</f>
        <v>6.5636254328475241</v>
      </c>
      <c r="I6" s="50">
        <f>'Bicycle Users'!I9</f>
        <v>30.655716871637125</v>
      </c>
      <c r="J6" s="67">
        <f>Inputs!$B$20</f>
        <v>333</v>
      </c>
      <c r="K6" s="87">
        <f>H6*I6*J6</f>
        <v>67003.81009264318</v>
      </c>
      <c r="L6" s="123">
        <f>ROUND(K6/((1+Inputs!$B$3)^($A6-2016)),0)</f>
        <v>51117</v>
      </c>
      <c r="M6" s="130">
        <f>Inputs!$B$67</f>
        <v>12.149739716675199</v>
      </c>
      <c r="N6" s="50">
        <f>Inputs!$B$20</f>
        <v>333</v>
      </c>
      <c r="O6" s="108">
        <v>0.5</v>
      </c>
      <c r="P6" s="50">
        <f>'Pedestrian Users'!M9</f>
        <v>591.65533562259668</v>
      </c>
      <c r="Q6" s="87">
        <f t="shared" si="2"/>
        <v>1196878.3119111436</v>
      </c>
      <c r="R6" s="123">
        <f>ROUND(Q6/((1+Inputs!$B$3)^($A6-2016)),0)</f>
        <v>913093</v>
      </c>
      <c r="S6" s="130">
        <f>Inputs!$B$70</f>
        <v>0.57098024197734365</v>
      </c>
      <c r="T6" s="50">
        <f>'Pedestrian Users'!J9</f>
        <v>306.55716871637128</v>
      </c>
      <c r="U6" s="50">
        <f>Inputs!$B$20</f>
        <v>333</v>
      </c>
      <c r="V6" s="87">
        <f t="shared" ref="V6" si="5">S6*T6*U6</f>
        <v>58287.682762396493</v>
      </c>
      <c r="W6" s="123">
        <f>ROUND(V6/((1+Inputs!$B$3)^($A6-2016)),0)</f>
        <v>44467</v>
      </c>
      <c r="X6" s="139">
        <f t="shared" si="4"/>
        <v>1441857.6359572976</v>
      </c>
      <c r="Y6" s="57">
        <f>ROUND(X6/((1+Inputs!$B$3)^($A6-2016)),0)</f>
        <v>1099986</v>
      </c>
    </row>
    <row r="7" spans="1:25" x14ac:dyDescent="0.25">
      <c r="A7" s="127">
        <v>2021</v>
      </c>
      <c r="B7" s="130">
        <f>Inputs!$B$65</f>
        <v>12.149739716675199</v>
      </c>
      <c r="C7" s="50">
        <f>Inputs!$B$20</f>
        <v>333</v>
      </c>
      <c r="D7" s="93">
        <v>0.5</v>
      </c>
      <c r="E7" s="50">
        <f>'Bicycle Users'!L10</f>
        <v>59.828209187972789</v>
      </c>
      <c r="F7" s="87">
        <f>E7*B7*C7*D7</f>
        <v>121028.37869655274</v>
      </c>
      <c r="G7" s="123">
        <f>ROUND(F7/((1+Inputs!$B$3)^($A7-2016)),0)</f>
        <v>86292</v>
      </c>
      <c r="H7" s="130">
        <f>Inputs!$B$69</f>
        <v>6.5636254328475241</v>
      </c>
      <c r="I7" s="50">
        <f>'Bicycle Users'!I10</f>
        <v>30.999072118120623</v>
      </c>
      <c r="J7" s="67">
        <f>Inputs!$B$20</f>
        <v>333</v>
      </c>
      <c r="K7" s="87">
        <f>H7*I7*J7</f>
        <v>67754.277283673975</v>
      </c>
      <c r="L7" s="123">
        <f>ROUND(K7/((1+Inputs!$B$3)^($A7-2016)),0)</f>
        <v>48308</v>
      </c>
      <c r="M7" s="130">
        <f>Inputs!$B$67</f>
        <v>12.149739716675199</v>
      </c>
      <c r="N7" s="50">
        <f>Inputs!$B$20</f>
        <v>333</v>
      </c>
      <c r="O7" s="108">
        <v>0.5</v>
      </c>
      <c r="P7" s="50">
        <f>'Pedestrian Users'!M10</f>
        <v>598.28209187972789</v>
      </c>
      <c r="Q7" s="87">
        <f>M7*N7*O7*P7</f>
        <v>1210283.7869655273</v>
      </c>
      <c r="R7" s="123">
        <f>ROUND(Q7/((1+Inputs!$B$3)^($A7-2016)),0)</f>
        <v>862916</v>
      </c>
      <c r="S7" s="130">
        <f>Inputs!$B$70</f>
        <v>0.57098024197734365</v>
      </c>
      <c r="T7" s="50">
        <f>'Pedestrian Users'!J10</f>
        <v>309.99072118120625</v>
      </c>
      <c r="U7" s="50">
        <f>Inputs!$B$20</f>
        <v>333</v>
      </c>
      <c r="V7" s="87">
        <f t="shared" si="3"/>
        <v>58940.526137928551</v>
      </c>
      <c r="W7" s="123">
        <f>ROUND(V7/((1+Inputs!$B$3)^($A7-2016)),0)</f>
        <v>42024</v>
      </c>
      <c r="X7" s="139">
        <f t="shared" si="4"/>
        <v>1458006.9690836826</v>
      </c>
      <c r="Y7" s="57">
        <f>ROUND(X7/((1+Inputs!$B$3)^($A7-2016)),0)</f>
        <v>1039539</v>
      </c>
    </row>
    <row r="8" spans="1:25" x14ac:dyDescent="0.25">
      <c r="A8" s="127">
        <v>2022</v>
      </c>
      <c r="B8" s="130">
        <f>Inputs!$B$65</f>
        <v>12.149739716675199</v>
      </c>
      <c r="C8" s="50">
        <f>Inputs!$B$20</f>
        <v>333</v>
      </c>
      <c r="D8" s="93">
        <v>0.5</v>
      </c>
      <c r="E8" s="50">
        <f>'Bicycle Users'!L11</f>
        <v>60.498307023179791</v>
      </c>
      <c r="F8" s="87">
        <f>E8*B8*C8*D8</f>
        <v>122383.94082458442</v>
      </c>
      <c r="G8" s="123">
        <f>ROUND(F8/((1+Inputs!$B$3)^($A8-2016)),0)</f>
        <v>81550</v>
      </c>
      <c r="H8" s="130">
        <f>Inputs!$B$69</f>
        <v>6.5636254328475241</v>
      </c>
      <c r="I8" s="50">
        <f>'Bicycle Users'!I11</f>
        <v>31.346273069005065</v>
      </c>
      <c r="J8" s="67">
        <f>Inputs!$B$20</f>
        <v>333</v>
      </c>
      <c r="K8" s="87">
        <f t="shared" si="1"/>
        <v>68513.149981854775</v>
      </c>
      <c r="L8" s="123">
        <f>ROUND(K8/((1+Inputs!$B$3)^($A8-2016)),0)</f>
        <v>45653</v>
      </c>
      <c r="M8" s="130">
        <f>Inputs!$B$67</f>
        <v>12.149739716675199</v>
      </c>
      <c r="N8" s="50">
        <f>Inputs!$B$20</f>
        <v>333</v>
      </c>
      <c r="O8" s="108">
        <v>0.5</v>
      </c>
      <c r="P8" s="50">
        <f>'Pedestrian Users'!M11</f>
        <v>604.98307023179791</v>
      </c>
      <c r="Q8" s="87">
        <f t="shared" si="2"/>
        <v>1223839.4082458443</v>
      </c>
      <c r="R8" s="123">
        <f>ROUND(Q8/((1+Inputs!$B$3)^($A8-2016)),0)</f>
        <v>815496</v>
      </c>
      <c r="S8" s="130">
        <f>Inputs!$B$70</f>
        <v>0.57098024197734365</v>
      </c>
      <c r="T8" s="50">
        <f>'Pedestrian Users'!J11</f>
        <v>313.46273069005065</v>
      </c>
      <c r="U8" s="50">
        <f>Inputs!$B$20</f>
        <v>333</v>
      </c>
      <c r="V8" s="87">
        <f t="shared" si="3"/>
        <v>59600.681598154581</v>
      </c>
      <c r="W8" s="123">
        <f>ROUND(V8/((1+Inputs!$B$3)^($A8-2016)),0)</f>
        <v>39714</v>
      </c>
      <c r="X8" s="139">
        <f t="shared" si="4"/>
        <v>1474337.1806504382</v>
      </c>
      <c r="Y8" s="57">
        <f>ROUND(X8/((1+Inputs!$B$3)^($A8-2016)),0)</f>
        <v>982413</v>
      </c>
    </row>
    <row r="9" spans="1:25" x14ac:dyDescent="0.25">
      <c r="A9" s="127">
        <v>2023</v>
      </c>
      <c r="B9" s="130">
        <f>Inputs!$B$65</f>
        <v>12.149739716675199</v>
      </c>
      <c r="C9" s="50">
        <f>Inputs!$B$20</f>
        <v>333</v>
      </c>
      <c r="D9" s="93">
        <v>0.5</v>
      </c>
      <c r="E9" s="50">
        <f>'Bicycle Users'!L12</f>
        <v>61.175910199342866</v>
      </c>
      <c r="F9" s="87">
        <f t="shared" si="0"/>
        <v>123754.68574447645</v>
      </c>
      <c r="G9" s="123">
        <f>ROUND(F9/((1+Inputs!$B$3)^($A9-2016)),0)</f>
        <v>77068</v>
      </c>
      <c r="H9" s="130">
        <f>Inputs!$B$69</f>
        <v>6.5636254328475241</v>
      </c>
      <c r="I9" s="50">
        <f>'Bicycle Users'!I12</f>
        <v>31.697362797586976</v>
      </c>
      <c r="J9" s="67">
        <f>Inputs!$B$20</f>
        <v>333</v>
      </c>
      <c r="K9" s="87">
        <f t="shared" si="1"/>
        <v>69280.522331941465</v>
      </c>
      <c r="L9" s="123">
        <f>ROUND(K9/((1+Inputs!$B$3)^($A9-2016)),0)</f>
        <v>43144</v>
      </c>
      <c r="M9" s="130">
        <f>Inputs!$B$67</f>
        <v>12.149739716675199</v>
      </c>
      <c r="N9" s="50">
        <f>Inputs!$B$20</f>
        <v>333</v>
      </c>
      <c r="O9" s="108">
        <v>0.5</v>
      </c>
      <c r="P9" s="50">
        <f>'Pedestrian Users'!M12</f>
        <v>611.75910199342866</v>
      </c>
      <c r="Q9" s="87">
        <f t="shared" si="2"/>
        <v>1237546.8574447646</v>
      </c>
      <c r="R9" s="123">
        <f>ROUND(Q9/((1+Inputs!$B$3)^($A9-2016)),0)</f>
        <v>770682</v>
      </c>
      <c r="S9" s="130">
        <f>Inputs!$B$70</f>
        <v>0.57098024197734365</v>
      </c>
      <c r="T9" s="50">
        <f>'Pedestrian Users'!J12</f>
        <v>316.97362797586976</v>
      </c>
      <c r="U9" s="50">
        <f>Inputs!$B$20</f>
        <v>333</v>
      </c>
      <c r="V9" s="87">
        <f t="shared" si="3"/>
        <v>60268.231041098843</v>
      </c>
      <c r="W9" s="123">
        <f>ROUND(V9/((1+Inputs!$B$3)^($A9-2016)),0)</f>
        <v>37532</v>
      </c>
      <c r="X9" s="139">
        <f t="shared" si="4"/>
        <v>1490850.2965622814</v>
      </c>
      <c r="Y9" s="57">
        <f>ROUND(X9/((1+Inputs!$B$3)^($A9-2016)),0)</f>
        <v>928427</v>
      </c>
    </row>
    <row r="10" spans="1:25" x14ac:dyDescent="0.25">
      <c r="A10" s="127">
        <v>2024</v>
      </c>
      <c r="B10" s="130">
        <f>Inputs!$B$65</f>
        <v>12.149739716675199</v>
      </c>
      <c r="C10" s="50">
        <f>Inputs!$B$20</f>
        <v>333</v>
      </c>
      <c r="D10" s="93">
        <v>0.5</v>
      </c>
      <c r="E10" s="50">
        <f>'Bicycle Users'!L13</f>
        <v>61.861102779027135</v>
      </c>
      <c r="F10" s="87">
        <f t="shared" si="0"/>
        <v>125140.78350905348</v>
      </c>
      <c r="G10" s="123">
        <f>ROUND(F10/((1+Inputs!$B$3)^($A10-2016)),0)</f>
        <v>72833</v>
      </c>
      <c r="H10" s="130">
        <f>Inputs!$B$69</f>
        <v>6.5636254328475241</v>
      </c>
      <c r="I10" s="50">
        <f>'Bicycle Users'!I13</f>
        <v>32.052384859599556</v>
      </c>
      <c r="J10" s="67">
        <f>Inputs!$B$20</f>
        <v>333</v>
      </c>
      <c r="K10" s="87">
        <f t="shared" si="1"/>
        <v>70056.489533145563</v>
      </c>
      <c r="L10" s="123">
        <f>ROUND(K10/((1+Inputs!$B$3)^($A10-2016)),0)</f>
        <v>40774</v>
      </c>
      <c r="M10" s="130">
        <f>Inputs!$B$67</f>
        <v>12.149739716675199</v>
      </c>
      <c r="N10" s="50">
        <f>Inputs!$B$20</f>
        <v>333</v>
      </c>
      <c r="O10" s="108">
        <v>0.5</v>
      </c>
      <c r="P10" s="50">
        <f>'Pedestrian Users'!M13</f>
        <v>618.61102779027135</v>
      </c>
      <c r="Q10" s="87">
        <f t="shared" si="2"/>
        <v>1251407.8350905348</v>
      </c>
      <c r="R10" s="123">
        <f>ROUND(Q10/((1+Inputs!$B$3)^($A10-2016)),0)</f>
        <v>728331</v>
      </c>
      <c r="S10" s="130">
        <f>Inputs!$B$70</f>
        <v>0.57098024197734365</v>
      </c>
      <c r="T10" s="50">
        <f>'Pedestrian Users'!J13</f>
        <v>320.52384859599556</v>
      </c>
      <c r="U10" s="50">
        <f>Inputs!$B$20</f>
        <v>333</v>
      </c>
      <c r="V10" s="87">
        <f t="shared" si="3"/>
        <v>60943.257282073384</v>
      </c>
      <c r="W10" s="123">
        <f>ROUND(V10/((1+Inputs!$B$3)^($A10-2016)),0)</f>
        <v>35470</v>
      </c>
      <c r="X10" s="139">
        <f t="shared" si="4"/>
        <v>1507548.3654148071</v>
      </c>
      <c r="Y10" s="57">
        <f>ROUND(X10/((1+Inputs!$B$3)^($A10-2016)),0)</f>
        <v>877407</v>
      </c>
    </row>
    <row r="11" spans="1:25" x14ac:dyDescent="0.25">
      <c r="A11" s="127">
        <v>2025</v>
      </c>
      <c r="B11" s="130">
        <f>Inputs!$B$65</f>
        <v>12.149739716675199</v>
      </c>
      <c r="C11" s="50">
        <f>Inputs!$B$20</f>
        <v>333</v>
      </c>
      <c r="D11" s="93">
        <v>0.5</v>
      </c>
      <c r="E11" s="50">
        <f>'Bicycle Users'!L14</f>
        <v>62.553969766329118</v>
      </c>
      <c r="F11" s="87">
        <f t="shared" si="0"/>
        <v>126542.40607579381</v>
      </c>
      <c r="G11" s="123">
        <f>ROUND(F11/((1+Inputs!$B$3)^($A11-2016)),0)</f>
        <v>68831</v>
      </c>
      <c r="H11" s="130">
        <f>Inputs!$B$69</f>
        <v>6.5636254328475241</v>
      </c>
      <c r="I11" s="50">
        <f>'Bicycle Users'!I14</f>
        <v>32.411383298616116</v>
      </c>
      <c r="J11" s="67">
        <f>Inputs!$B$20</f>
        <v>333</v>
      </c>
      <c r="K11" s="87">
        <f t="shared" si="1"/>
        <v>70841.147850944559</v>
      </c>
      <c r="L11" s="123">
        <f>ROUND(K11/((1+Inputs!$B$3)^($A11-2016)),0)</f>
        <v>38533</v>
      </c>
      <c r="M11" s="130">
        <f>Inputs!$B$67</f>
        <v>12.149739716675199</v>
      </c>
      <c r="N11" s="50">
        <f>Inputs!$B$20</f>
        <v>333</v>
      </c>
      <c r="O11" s="108">
        <v>0.5</v>
      </c>
      <c r="P11" s="50">
        <f>'Pedestrian Users'!M14</f>
        <v>625.53969766329124</v>
      </c>
      <c r="Q11" s="87">
        <f t="shared" si="2"/>
        <v>1265424.0607579383</v>
      </c>
      <c r="R11" s="123">
        <f>ROUND(Q11/((1+Inputs!$B$3)^($A11-2016)),0)</f>
        <v>688307</v>
      </c>
      <c r="S11" s="130">
        <f>Inputs!$B$70</f>
        <v>0.57098024197734365</v>
      </c>
      <c r="T11" s="50">
        <f>'Pedestrian Users'!J14</f>
        <v>324.11383298616113</v>
      </c>
      <c r="U11" s="50">
        <f>Inputs!$B$20</f>
        <v>333</v>
      </c>
      <c r="V11" s="87">
        <f t="shared" si="3"/>
        <v>61625.84406395199</v>
      </c>
      <c r="W11" s="123">
        <f>ROUND(V11/((1+Inputs!$B$3)^($A11-2016)),0)</f>
        <v>33520</v>
      </c>
      <c r="X11" s="139">
        <f t="shared" si="4"/>
        <v>1524433.4587486289</v>
      </c>
      <c r="Y11" s="57">
        <f>ROUND(X11/((1+Inputs!$B$3)^($A11-2016)),0)</f>
        <v>829191</v>
      </c>
    </row>
    <row r="12" spans="1:25" x14ac:dyDescent="0.25">
      <c r="A12" s="127">
        <v>2026</v>
      </c>
      <c r="B12" s="130">
        <f>Inputs!$B$65</f>
        <v>12.149739716675199</v>
      </c>
      <c r="C12" s="50">
        <f>Inputs!$B$20</f>
        <v>333</v>
      </c>
      <c r="D12" s="93">
        <v>0.5</v>
      </c>
      <c r="E12" s="50">
        <f>'Bicycle Users'!L15</f>
        <v>63.25459711742235</v>
      </c>
      <c r="F12" s="87">
        <f t="shared" si="0"/>
        <v>127959.72732816251</v>
      </c>
      <c r="G12" s="123">
        <f>ROUND(F12/((1+Inputs!$B$3)^($A12-2016)),0)</f>
        <v>65048</v>
      </c>
      <c r="H12" s="130">
        <f>Inputs!$B$69</f>
        <v>6.5636254328475241</v>
      </c>
      <c r="I12" s="50">
        <f>'Bicycle Users'!I15</f>
        <v>32.774402651514166</v>
      </c>
      <c r="J12" s="67">
        <f>Inputs!$B$20</f>
        <v>333</v>
      </c>
      <c r="K12" s="87">
        <f t="shared" si="1"/>
        <v>71634.594629024621</v>
      </c>
      <c r="L12" s="123">
        <f>ROUND(K12/((1+Inputs!$B$3)^($A12-2016)),0)</f>
        <v>36415</v>
      </c>
      <c r="M12" s="130">
        <f>Inputs!$B$67</f>
        <v>12.149739716675199</v>
      </c>
      <c r="N12" s="50">
        <f>Inputs!$B$20</f>
        <v>333</v>
      </c>
      <c r="O12" s="108">
        <v>0.5</v>
      </c>
      <c r="P12" s="50">
        <f>'Pedestrian Users'!M15</f>
        <v>632.5459711742235</v>
      </c>
      <c r="Q12" s="87">
        <f t="shared" si="2"/>
        <v>1279597.2732816252</v>
      </c>
      <c r="R12" s="123">
        <f>ROUND(Q12/((1+Inputs!$B$3)^($A12-2016)),0)</f>
        <v>650482</v>
      </c>
      <c r="S12" s="130">
        <f>Inputs!$B$70</f>
        <v>0.57098024197734365</v>
      </c>
      <c r="T12" s="50">
        <f>'Pedestrian Users'!J15</f>
        <v>327.74402651514163</v>
      </c>
      <c r="U12" s="50">
        <f>Inputs!$B$20</f>
        <v>333</v>
      </c>
      <c r="V12" s="87">
        <f t="shared" si="3"/>
        <v>62316.076067559421</v>
      </c>
      <c r="W12" s="123">
        <f>ROUND(V12/((1+Inputs!$B$3)^($A12-2016)),0)</f>
        <v>31678</v>
      </c>
      <c r="X12" s="139">
        <f t="shared" si="4"/>
        <v>1541507.6713063717</v>
      </c>
      <c r="Y12" s="57">
        <f>ROUND(X12/((1+Inputs!$B$3)^($A12-2016)),0)</f>
        <v>783624</v>
      </c>
    </row>
    <row r="13" spans="1:25" x14ac:dyDescent="0.25">
      <c r="A13" s="127">
        <v>2027</v>
      </c>
      <c r="B13" s="130">
        <f>Inputs!$B$65</f>
        <v>12.149739716675199</v>
      </c>
      <c r="C13" s="50">
        <f>Inputs!$B$20</f>
        <v>333</v>
      </c>
      <c r="D13" s="93">
        <v>0.5</v>
      </c>
      <c r="E13" s="50">
        <f>'Bicycle Users'!L16</f>
        <v>63.963071751220923</v>
      </c>
      <c r="F13" s="87">
        <f t="shared" si="0"/>
        <v>129392.92309718301</v>
      </c>
      <c r="G13" s="123">
        <f>ROUND(F13/((1+Inputs!$B$3)^($A13-2016)),0)</f>
        <v>61474</v>
      </c>
      <c r="H13" s="130">
        <f>Inputs!$B$69</f>
        <v>6.5636254328475241</v>
      </c>
      <c r="I13" s="50">
        <f>'Bicycle Users'!I16</f>
        <v>33.141487954000482</v>
      </c>
      <c r="J13" s="67">
        <f>Inputs!$B$20</f>
        <v>333</v>
      </c>
      <c r="K13" s="87">
        <f t="shared" si="1"/>
        <v>72436.928301356704</v>
      </c>
      <c r="L13" s="123">
        <f>ROUND(K13/((1+Inputs!$B$3)^($A13-2016)),0)</f>
        <v>34414</v>
      </c>
      <c r="M13" s="130">
        <f>Inputs!$B$67</f>
        <v>12.149739716675199</v>
      </c>
      <c r="N13" s="50">
        <f>Inputs!$B$20</f>
        <v>333</v>
      </c>
      <c r="O13" s="108">
        <v>0.5</v>
      </c>
      <c r="P13" s="50">
        <f>'Pedestrian Users'!M16</f>
        <v>639.63071751220923</v>
      </c>
      <c r="Q13" s="87">
        <f t="shared" si="2"/>
        <v>1293929.23097183</v>
      </c>
      <c r="R13" s="123">
        <f>ROUND(Q13/((1+Inputs!$B$3)^($A13-2016)),0)</f>
        <v>614736</v>
      </c>
      <c r="S13" s="130">
        <f>Inputs!$B$70</f>
        <v>0.57098024197734365</v>
      </c>
      <c r="T13" s="50">
        <f>'Pedestrian Users'!J16</f>
        <v>331.41487954000479</v>
      </c>
      <c r="U13" s="50">
        <f>Inputs!$B$20</f>
        <v>333</v>
      </c>
      <c r="V13" s="87">
        <f t="shared" si="3"/>
        <v>63014.0389221765</v>
      </c>
      <c r="W13" s="123">
        <f>ROUND(V13/((1+Inputs!$B$3)^($A13-2016)),0)</f>
        <v>29938</v>
      </c>
      <c r="X13" s="139">
        <f t="shared" si="4"/>
        <v>1558773.1212925462</v>
      </c>
      <c r="Y13" s="57">
        <f>ROUND(X13/((1+Inputs!$B$3)^($A13-2016)),0)</f>
        <v>740562</v>
      </c>
    </row>
    <row r="14" spans="1:25" x14ac:dyDescent="0.25">
      <c r="A14" s="127">
        <v>2028</v>
      </c>
      <c r="B14" s="130">
        <f>Inputs!$B$65</f>
        <v>12.149739716675199</v>
      </c>
      <c r="C14" s="50">
        <f>Inputs!$B$20</f>
        <v>333</v>
      </c>
      <c r="D14" s="93">
        <v>0.5</v>
      </c>
      <c r="E14" s="50">
        <f>'Bicycle Users'!L17</f>
        <v>64.679481560162685</v>
      </c>
      <c r="F14" s="87">
        <f t="shared" si="0"/>
        <v>130842.17118325071</v>
      </c>
      <c r="G14" s="123">
        <f>ROUND(F14/((1+Inputs!$B$3)^($A14-2016)),0)</f>
        <v>58095</v>
      </c>
      <c r="H14" s="130">
        <f>Inputs!$B$69</f>
        <v>6.5636254328475241</v>
      </c>
      <c r="I14" s="50">
        <f>'Bicycle Users'!I17</f>
        <v>33.512684746198275</v>
      </c>
      <c r="J14" s="67">
        <f>Inputs!$B$20</f>
        <v>333</v>
      </c>
      <c r="K14" s="87">
        <f t="shared" si="1"/>
        <v>73248.248404408369</v>
      </c>
      <c r="L14" s="123">
        <f>ROUND(K14/((1+Inputs!$B$3)^($A14-2016)),0)</f>
        <v>32523</v>
      </c>
      <c r="M14" s="130">
        <f>Inputs!$B$67</f>
        <v>12.149739716675199</v>
      </c>
      <c r="N14" s="50">
        <f>Inputs!$B$20</f>
        <v>333</v>
      </c>
      <c r="O14" s="108">
        <v>0.5</v>
      </c>
      <c r="P14" s="50">
        <f>'Pedestrian Users'!M17</f>
        <v>646.79481560162685</v>
      </c>
      <c r="Q14" s="87">
        <f t="shared" si="2"/>
        <v>1308421.7118325073</v>
      </c>
      <c r="R14" s="123">
        <f>ROUND(Q14/((1+Inputs!$B$3)^($A14-2016)),0)</f>
        <v>580955</v>
      </c>
      <c r="S14" s="130">
        <f>Inputs!$B$70</f>
        <v>0.57098024197734365</v>
      </c>
      <c r="T14" s="50">
        <f>'Pedestrian Users'!J17</f>
        <v>335.12684746198272</v>
      </c>
      <c r="U14" s="50">
        <f>Inputs!$B$20</f>
        <v>333</v>
      </c>
      <c r="V14" s="87">
        <f t="shared" si="3"/>
        <v>63719.819216163422</v>
      </c>
      <c r="W14" s="123">
        <f>ROUND(V14/((1+Inputs!$B$3)^($A14-2016)),0)</f>
        <v>28292</v>
      </c>
      <c r="X14" s="139">
        <f t="shared" si="4"/>
        <v>1576231.9506363296</v>
      </c>
      <c r="Y14" s="57">
        <f>ROUND(X14/((1+Inputs!$B$3)^($A14-2016)),0)</f>
        <v>699866</v>
      </c>
    </row>
    <row r="15" spans="1:25" x14ac:dyDescent="0.25">
      <c r="A15" s="127">
        <v>2029</v>
      </c>
      <c r="B15" s="130">
        <f>Inputs!$B$65</f>
        <v>12.149739716675199</v>
      </c>
      <c r="C15" s="50">
        <f>Inputs!$B$20</f>
        <v>333</v>
      </c>
      <c r="D15" s="93">
        <v>0.5</v>
      </c>
      <c r="E15" s="50">
        <f>'Bicycle Users'!L18</f>
        <v>65.403915421112828</v>
      </c>
      <c r="F15" s="87">
        <f t="shared" si="0"/>
        <v>132307.65137819035</v>
      </c>
      <c r="G15" s="123">
        <f>ROUND(F15/((1+Inputs!$B$3)^($A15-2016)),0)</f>
        <v>54903</v>
      </c>
      <c r="H15" s="130">
        <f>Inputs!$B$69</f>
        <v>6.5636254328475241</v>
      </c>
      <c r="I15" s="50">
        <f>'Bicycle Users'!I18</f>
        <v>33.888039078296799</v>
      </c>
      <c r="J15" s="67">
        <f>Inputs!$B$20</f>
        <v>333</v>
      </c>
      <c r="K15" s="87">
        <f t="shared" si="1"/>
        <v>74068.655589492002</v>
      </c>
      <c r="L15" s="123">
        <f>ROUND(K15/((1+Inputs!$B$3)^($A15-2016)),0)</f>
        <v>30736</v>
      </c>
      <c r="M15" s="130">
        <f>Inputs!$B$67</f>
        <v>12.149739716675199</v>
      </c>
      <c r="N15" s="50">
        <f>Inputs!$B$20</f>
        <v>333</v>
      </c>
      <c r="O15" s="108">
        <v>0.5</v>
      </c>
      <c r="P15" s="50">
        <f>'Pedestrian Users'!M18</f>
        <v>654.03915421112833</v>
      </c>
      <c r="Q15" s="87">
        <f t="shared" si="2"/>
        <v>1323076.5137819035</v>
      </c>
      <c r="R15" s="123">
        <f>ROUND(Q15/((1+Inputs!$B$3)^($A15-2016)),0)</f>
        <v>549030</v>
      </c>
      <c r="S15" s="130">
        <f>Inputs!$B$70</f>
        <v>0.57098024197734365</v>
      </c>
      <c r="T15" s="50">
        <f>'Pedestrian Users'!J18</f>
        <v>338.88039078296799</v>
      </c>
      <c r="U15" s="50">
        <f>Inputs!$B$20</f>
        <v>333</v>
      </c>
      <c r="V15" s="87">
        <f t="shared" si="3"/>
        <v>64433.504507701742</v>
      </c>
      <c r="W15" s="123">
        <f>ROUND(V15/((1+Inputs!$B$3)^($A15-2016)),0)</f>
        <v>26738</v>
      </c>
      <c r="X15" s="139">
        <f t="shared" si="4"/>
        <v>1593886.3252572878</v>
      </c>
      <c r="Y15" s="57">
        <f>ROUND(X15/((1+Inputs!$B$3)^($A15-2016)),0)</f>
        <v>661406</v>
      </c>
    </row>
    <row r="16" spans="1:25" x14ac:dyDescent="0.25">
      <c r="A16" s="127">
        <v>2030</v>
      </c>
      <c r="B16" s="130">
        <f>Inputs!$B$65</f>
        <v>12.149739716675199</v>
      </c>
      <c r="C16" s="50">
        <f>Inputs!$B$20</f>
        <v>333</v>
      </c>
      <c r="D16" s="93">
        <v>0.5</v>
      </c>
      <c r="E16" s="50">
        <f>'Bicycle Users'!L19</f>
        <v>66.136463206389976</v>
      </c>
      <c r="F16" s="87">
        <f t="shared" si="0"/>
        <v>133789.54548756088</v>
      </c>
      <c r="G16" s="123">
        <f>ROUND(F16/((1+Inputs!$B$3)^($A16-2016)),0)</f>
        <v>51886</v>
      </c>
      <c r="H16" s="130">
        <f>Inputs!$B$69</f>
        <v>6.5636254328475241</v>
      </c>
      <c r="I16" s="50">
        <f>'Bicycle Users'!I19</f>
        <v>34.267597516264232</v>
      </c>
      <c r="J16" s="67">
        <f>Inputs!$B$20</f>
        <v>333</v>
      </c>
      <c r="K16" s="87">
        <f t="shared" si="1"/>
        <v>74898.251635251407</v>
      </c>
      <c r="L16" s="123">
        <f>ROUND(K16/((1+Inputs!$B$3)^($A16-2016)),0)</f>
        <v>29047</v>
      </c>
      <c r="M16" s="130">
        <f>Inputs!$B$67</f>
        <v>12.149739716675199</v>
      </c>
      <c r="N16" s="50">
        <f>Inputs!$B$20</f>
        <v>333</v>
      </c>
      <c r="O16" s="108">
        <v>0.5</v>
      </c>
      <c r="P16" s="50">
        <f>'Pedestrian Users'!M19</f>
        <v>661.36463206389976</v>
      </c>
      <c r="Q16" s="87">
        <f t="shared" si="2"/>
        <v>1337895.4548756087</v>
      </c>
      <c r="R16" s="123">
        <f>ROUND(Q16/((1+Inputs!$B$3)^($A16-2016)),0)</f>
        <v>518859</v>
      </c>
      <c r="S16" s="130">
        <f>Inputs!$B$70</f>
        <v>0.57098024197734365</v>
      </c>
      <c r="T16" s="50">
        <f>'Pedestrian Users'!J19</f>
        <v>342.67597516264232</v>
      </c>
      <c r="U16" s="50">
        <f>Inputs!$B$20</f>
        <v>333</v>
      </c>
      <c r="V16" s="87">
        <f t="shared" si="3"/>
        <v>65155.183335656504</v>
      </c>
      <c r="W16" s="123">
        <f>ROUND(V16/((1+Inputs!$B$3)^($A16-2016)),0)</f>
        <v>25268</v>
      </c>
      <c r="X16" s="139">
        <f t="shared" si="4"/>
        <v>1611738.4353340776</v>
      </c>
      <c r="Y16" s="57">
        <f>ROUND(X16/((1+Inputs!$B$3)^($A16-2016)),0)</f>
        <v>625060</v>
      </c>
    </row>
    <row r="17" spans="1:25" x14ac:dyDescent="0.25">
      <c r="A17" s="127">
        <v>2031</v>
      </c>
      <c r="B17" s="130">
        <f>Inputs!$B$65</f>
        <v>12.149739716675199</v>
      </c>
      <c r="C17" s="50">
        <f>Inputs!$B$20</f>
        <v>333</v>
      </c>
      <c r="D17" s="93">
        <v>0.5</v>
      </c>
      <c r="E17" s="50">
        <f>'Bicycle Users'!L20</f>
        <v>66.877215794915685</v>
      </c>
      <c r="F17" s="87">
        <f t="shared" si="0"/>
        <v>135288.03735321015</v>
      </c>
      <c r="G17" s="123">
        <f>ROUND(F17/((1+Inputs!$B$3)^($A17-2016)),0)</f>
        <v>49035</v>
      </c>
      <c r="H17" s="130">
        <f>Inputs!$B$69</f>
        <v>6.5636254328475241</v>
      </c>
      <c r="I17" s="50">
        <f>'Bicycle Users'!I20</f>
        <v>34.65140714762471</v>
      </c>
      <c r="J17" s="67">
        <f>Inputs!$B$20</f>
        <v>333</v>
      </c>
      <c r="K17" s="87">
        <f t="shared" si="1"/>
        <v>75737.139460288643</v>
      </c>
      <c r="L17" s="123">
        <f>ROUND(K17/((1+Inputs!$B$3)^($A17-2016)),0)</f>
        <v>27451</v>
      </c>
      <c r="M17" s="130">
        <f>Inputs!$B$67</f>
        <v>12.149739716675199</v>
      </c>
      <c r="N17" s="50">
        <f>Inputs!$B$20</f>
        <v>333</v>
      </c>
      <c r="O17" s="108">
        <v>0.5</v>
      </c>
      <c r="P17" s="50">
        <f>'Pedestrian Users'!M20</f>
        <v>668.77215794915685</v>
      </c>
      <c r="Q17" s="87">
        <f t="shared" si="2"/>
        <v>1352880.3735321015</v>
      </c>
      <c r="R17" s="123">
        <f>ROUND(Q17/((1+Inputs!$B$3)^($A17-2016)),0)</f>
        <v>490346</v>
      </c>
      <c r="S17" s="130">
        <f>Inputs!$B$70</f>
        <v>0.57098024197734365</v>
      </c>
      <c r="T17" s="50">
        <f>'Pedestrian Users'!J20</f>
        <v>346.51407147624707</v>
      </c>
      <c r="U17" s="50">
        <f>Inputs!$B$20</f>
        <v>333</v>
      </c>
      <c r="V17" s="87">
        <f t="shared" si="3"/>
        <v>65884.945230560683</v>
      </c>
      <c r="W17" s="123">
        <f>ROUND(V17/((1+Inputs!$B$3)^($A17-2016)),0)</f>
        <v>23880</v>
      </c>
      <c r="X17" s="139">
        <f t="shared" si="4"/>
        <v>1629790.495576161</v>
      </c>
      <c r="Y17" s="57">
        <f>ROUND(X17/((1+Inputs!$B$3)^($A17-2016)),0)</f>
        <v>590711</v>
      </c>
    </row>
    <row r="18" spans="1:25" x14ac:dyDescent="0.25">
      <c r="A18" s="127">
        <v>2032</v>
      </c>
      <c r="B18" s="130">
        <f>Inputs!$B$65</f>
        <v>12.149739716675199</v>
      </c>
      <c r="C18" s="50">
        <f>Inputs!$B$20</f>
        <v>333</v>
      </c>
      <c r="D18" s="93">
        <v>0.5</v>
      </c>
      <c r="E18" s="50">
        <f>'Bicycle Users'!L21</f>
        <v>67.626265083488619</v>
      </c>
      <c r="F18" s="87">
        <f t="shared" si="0"/>
        <v>136803.31287608194</v>
      </c>
      <c r="G18" s="123">
        <f>ROUND(F18/((1+Inputs!$B$3)^($A18-2016)),0)</f>
        <v>46340</v>
      </c>
      <c r="H18" s="130">
        <f>Inputs!$B$69</f>
        <v>6.5636254328475241</v>
      </c>
      <c r="I18" s="50">
        <f>'Bicycle Users'!I21</f>
        <v>35.039515587299803</v>
      </c>
      <c r="J18" s="67">
        <f>Inputs!$B$20</f>
        <v>333</v>
      </c>
      <c r="K18" s="87">
        <f t="shared" si="1"/>
        <v>76585.423135931604</v>
      </c>
      <c r="L18" s="123">
        <f>ROUND(K18/((1+Inputs!$B$3)^($A18-2016)),0)</f>
        <v>25942</v>
      </c>
      <c r="M18" s="130">
        <f>Inputs!$B$67</f>
        <v>12.149739716675199</v>
      </c>
      <c r="N18" s="50">
        <f>Inputs!$B$20</f>
        <v>333</v>
      </c>
      <c r="O18" s="108">
        <v>0.5</v>
      </c>
      <c r="P18" s="50">
        <f>'Pedestrian Users'!M21</f>
        <v>676.26265083488624</v>
      </c>
      <c r="Q18" s="87">
        <f t="shared" si="2"/>
        <v>1368033.1287608196</v>
      </c>
      <c r="R18" s="123">
        <f>ROUND(Q18/((1+Inputs!$B$3)^($A18-2016)),0)</f>
        <v>463400</v>
      </c>
      <c r="S18" s="130">
        <f>Inputs!$B$70</f>
        <v>0.57098024197734365</v>
      </c>
      <c r="T18" s="50">
        <f>'Pedestrian Users'!J21</f>
        <v>350.39515587299803</v>
      </c>
      <c r="U18" s="50">
        <f>Inputs!$B$20</f>
        <v>333</v>
      </c>
      <c r="V18" s="87">
        <f t="shared" si="3"/>
        <v>66622.8807257218</v>
      </c>
      <c r="W18" s="123">
        <f>ROUND(V18/((1+Inputs!$B$3)^($A18-2016)),0)</f>
        <v>22567</v>
      </c>
      <c r="X18" s="139">
        <f t="shared" si="4"/>
        <v>1648044.745498555</v>
      </c>
      <c r="Y18" s="57">
        <f>ROUND(X18/((1+Inputs!$B$3)^($A18-2016)),0)</f>
        <v>558250</v>
      </c>
    </row>
    <row r="19" spans="1:25" x14ac:dyDescent="0.25">
      <c r="A19" s="127">
        <v>2033</v>
      </c>
      <c r="B19" s="130">
        <f>Inputs!$B$65</f>
        <v>12.149739716675199</v>
      </c>
      <c r="C19" s="50">
        <f>Inputs!$B$20</f>
        <v>333</v>
      </c>
      <c r="D19" s="93">
        <v>0.5</v>
      </c>
      <c r="E19" s="50">
        <f>'Bicycle Users'!L22</f>
        <v>68.38370399818524</v>
      </c>
      <c r="F19" s="87">
        <f t="shared" si="0"/>
        <v>138335.56003927861</v>
      </c>
      <c r="G19" s="123">
        <f>ROUND(F19/((1+Inputs!$B$3)^($A19-2016)),0)</f>
        <v>43793</v>
      </c>
      <c r="H19" s="130">
        <f>Inputs!$B$69</f>
        <v>6.5636254328475241</v>
      </c>
      <c r="I19" s="50">
        <f>'Bicycle Users'!I22</f>
        <v>35.431970983515654</v>
      </c>
      <c r="J19" s="67">
        <f>Inputs!$B$20</f>
        <v>333</v>
      </c>
      <c r="K19" s="87">
        <f t="shared" si="1"/>
        <v>77443.207899145171</v>
      </c>
      <c r="L19" s="123">
        <f>ROUND(K19/((1+Inputs!$B$3)^($A19-2016)),0)</f>
        <v>24517</v>
      </c>
      <c r="M19" s="130">
        <f>Inputs!$B$67</f>
        <v>12.149739716675199</v>
      </c>
      <c r="N19" s="50">
        <f>Inputs!$B$20</f>
        <v>333</v>
      </c>
      <c r="O19" s="108">
        <v>0.5</v>
      </c>
      <c r="P19" s="50">
        <f>'Pedestrian Users'!M22</f>
        <v>683.8370399818524</v>
      </c>
      <c r="Q19" s="87">
        <f t="shared" si="2"/>
        <v>1383355.6003927863</v>
      </c>
      <c r="R19" s="123">
        <f>ROUND(Q19/((1+Inputs!$B$3)^($A19-2016)),0)</f>
        <v>437935</v>
      </c>
      <c r="S19" s="130">
        <f>Inputs!$B$70</f>
        <v>0.57098024197734365</v>
      </c>
      <c r="T19" s="50">
        <f>'Pedestrian Users'!J22</f>
        <v>354.31970983515657</v>
      </c>
      <c r="U19" s="50">
        <f>Inputs!$B$20</f>
        <v>333</v>
      </c>
      <c r="V19" s="87">
        <f t="shared" si="3"/>
        <v>67369.081368453626</v>
      </c>
      <c r="W19" s="123">
        <f>ROUND(V19/((1+Inputs!$B$3)^($A19-2016)),0)</f>
        <v>21327</v>
      </c>
      <c r="X19" s="139">
        <f t="shared" si="4"/>
        <v>1666503.4496996638</v>
      </c>
      <c r="Y19" s="57">
        <f>ROUND(X19/((1+Inputs!$B$3)^($A19-2016)),0)</f>
        <v>527572</v>
      </c>
    </row>
    <row r="20" spans="1:25" x14ac:dyDescent="0.25">
      <c r="A20" s="127">
        <v>2034</v>
      </c>
      <c r="B20" s="130">
        <f>Inputs!$B$65</f>
        <v>12.149739716675199</v>
      </c>
      <c r="C20" s="50">
        <f>Inputs!$B$20</f>
        <v>333</v>
      </c>
      <c r="D20" s="93">
        <v>0.5</v>
      </c>
      <c r="E20" s="50">
        <f>'Bicycle Users'!L23</f>
        <v>69.149626505888051</v>
      </c>
      <c r="F20" s="87">
        <f t="shared" si="0"/>
        <v>139884.96893138206</v>
      </c>
      <c r="G20" s="123">
        <f>ROUND(F20/((1+Inputs!$B$3)^($A20-2016)),0)</f>
        <v>41387</v>
      </c>
      <c r="H20" s="130">
        <f>Inputs!$B$69</f>
        <v>6.5636254328475241</v>
      </c>
      <c r="I20" s="50">
        <f>'Bicycle Users'!I23</f>
        <v>35.828822023776183</v>
      </c>
      <c r="J20" s="67">
        <f>Inputs!$B$20</f>
        <v>333</v>
      </c>
      <c r="K20" s="87">
        <f t="shared" si="1"/>
        <v>78310.600165586875</v>
      </c>
      <c r="L20" s="123">
        <f>ROUND(K20/((1+Inputs!$B$3)^($A20-2016)),0)</f>
        <v>23169</v>
      </c>
      <c r="M20" s="130">
        <f>Inputs!$B$67</f>
        <v>12.149739716675199</v>
      </c>
      <c r="N20" s="50">
        <f>Inputs!$B$20</f>
        <v>333</v>
      </c>
      <c r="O20" s="108">
        <v>0.5</v>
      </c>
      <c r="P20" s="50">
        <f>'Pedestrian Users'!M23</f>
        <v>691.49626505888045</v>
      </c>
      <c r="Q20" s="87">
        <f t="shared" si="2"/>
        <v>1398849.6893138203</v>
      </c>
      <c r="R20" s="123">
        <f>ROUND(Q20/((1+Inputs!$B$3)^($A20-2016)),0)</f>
        <v>413869</v>
      </c>
      <c r="S20" s="130">
        <f>Inputs!$B$70</f>
        <v>0.57098024197734365</v>
      </c>
      <c r="T20" s="50">
        <f>'Pedestrian Users'!J23</f>
        <v>358.28822023776183</v>
      </c>
      <c r="U20" s="50">
        <f>Inputs!$B$20</f>
        <v>333</v>
      </c>
      <c r="V20" s="87">
        <f t="shared" si="3"/>
        <v>68123.639731433344</v>
      </c>
      <c r="W20" s="123">
        <f>ROUND(V20/((1+Inputs!$B$3)^($A20-2016)),0)</f>
        <v>20155</v>
      </c>
      <c r="X20" s="139">
        <f t="shared" si="4"/>
        <v>1685168.8981422225</v>
      </c>
      <c r="Y20" s="57">
        <f>ROUND(X20/((1+Inputs!$B$3)^($A20-2016)),0)</f>
        <v>498581</v>
      </c>
    </row>
    <row r="21" spans="1:25" x14ac:dyDescent="0.25">
      <c r="A21" s="127">
        <v>2035</v>
      </c>
      <c r="B21" s="130">
        <f>Inputs!$B$65</f>
        <v>12.149739716675199</v>
      </c>
      <c r="C21" s="50">
        <f>Inputs!$B$20</f>
        <v>333</v>
      </c>
      <c r="D21" s="93">
        <v>0.5</v>
      </c>
      <c r="E21" s="50">
        <f>'Bicycle Users'!L24</f>
        <v>69.924127625942958</v>
      </c>
      <c r="F21" s="87">
        <f t="shared" si="0"/>
        <v>141451.73177003567</v>
      </c>
      <c r="G21" s="123">
        <f>ROUND(F21/((1+Inputs!$B$3)^($A21-2016)),0)</f>
        <v>39113</v>
      </c>
      <c r="H21" s="130">
        <f>Inputs!$B$69</f>
        <v>6.5636254328475241</v>
      </c>
      <c r="I21" s="50">
        <f>'Bicycle Users'!I24</f>
        <v>36.230117940903085</v>
      </c>
      <c r="J21" s="67">
        <f>Inputs!$B$20</f>
        <v>333</v>
      </c>
      <c r="K21" s="87">
        <f t="shared" si="1"/>
        <v>79187.70754280829</v>
      </c>
      <c r="L21" s="123">
        <f>ROUND(K21/((1+Inputs!$B$3)^($A21-2016)),0)</f>
        <v>21896</v>
      </c>
      <c r="M21" s="130">
        <f>Inputs!$B$67</f>
        <v>12.149739716675199</v>
      </c>
      <c r="N21" s="50">
        <f>Inputs!$B$20</f>
        <v>333</v>
      </c>
      <c r="O21" s="108">
        <v>0.5</v>
      </c>
      <c r="P21" s="50">
        <f>'Pedestrian Users'!M24</f>
        <v>699.24127625942958</v>
      </c>
      <c r="Q21" s="87">
        <f t="shared" si="2"/>
        <v>1414517.3177003565</v>
      </c>
      <c r="R21" s="123">
        <f>ROUND(Q21/((1+Inputs!$B$3)^($A21-2016)),0)</f>
        <v>391126</v>
      </c>
      <c r="S21" s="130">
        <f>Inputs!$B$70</f>
        <v>0.57098024197734365</v>
      </c>
      <c r="T21" s="50">
        <f>'Pedestrian Users'!J24</f>
        <v>362.30117940903085</v>
      </c>
      <c r="U21" s="50">
        <f>Inputs!$B$20</f>
        <v>333</v>
      </c>
      <c r="V21" s="87">
        <f t="shared" si="3"/>
        <v>68886.649424185918</v>
      </c>
      <c r="W21" s="123">
        <f>ROUND(V21/((1+Inputs!$B$3)^($A21-2016)),0)</f>
        <v>19048</v>
      </c>
      <c r="X21" s="139">
        <f t="shared" si="4"/>
        <v>1704043.4064373863</v>
      </c>
      <c r="Y21" s="57">
        <f>ROUND(X21/((1+Inputs!$B$3)^($A21-2016)),0)</f>
        <v>471182</v>
      </c>
    </row>
    <row r="22" spans="1:25" x14ac:dyDescent="0.25">
      <c r="A22" s="127">
        <v>2036</v>
      </c>
      <c r="B22" s="130">
        <f>Inputs!$B$65</f>
        <v>12.149739716675199</v>
      </c>
      <c r="C22" s="50">
        <f>Inputs!$B$20</f>
        <v>333</v>
      </c>
      <c r="D22" s="93">
        <v>0.5</v>
      </c>
      <c r="E22" s="50">
        <f>'Bicycle Users'!L25</f>
        <v>70.707303441947516</v>
      </c>
      <c r="F22" s="87">
        <f t="shared" si="0"/>
        <v>143036.0429257912</v>
      </c>
      <c r="G22" s="123">
        <f>ROUND(F22/((1+Inputs!$B$3)^($A22-2016)),0)</f>
        <v>36963</v>
      </c>
      <c r="H22" s="130">
        <f>Inputs!$B$69</f>
        <v>6.5636254328475241</v>
      </c>
      <c r="I22" s="50">
        <f>'Bicycle Users'!I25</f>
        <v>36.635908519143783</v>
      </c>
      <c r="J22" s="67">
        <f>Inputs!$B$20</f>
        <v>333</v>
      </c>
      <c r="K22" s="87">
        <f t="shared" si="1"/>
        <v>80074.638843605222</v>
      </c>
      <c r="L22" s="123">
        <f>ROUND(K22/((1+Inputs!$B$3)^($A22-2016)),0)</f>
        <v>20693</v>
      </c>
      <c r="M22" s="130">
        <f>Inputs!$B$67</f>
        <v>12.149739716675199</v>
      </c>
      <c r="N22" s="50">
        <f>Inputs!$B$20</f>
        <v>333</v>
      </c>
      <c r="O22" s="108">
        <v>0.5</v>
      </c>
      <c r="P22" s="50">
        <f>'Pedestrian Users'!M25</f>
        <v>707.07303441947511</v>
      </c>
      <c r="Q22" s="87">
        <f t="shared" si="2"/>
        <v>1430360.4292579119</v>
      </c>
      <c r="R22" s="123">
        <f>ROUND(Q22/((1+Inputs!$B$3)^($A22-2016)),0)</f>
        <v>369632</v>
      </c>
      <c r="S22" s="130">
        <f>Inputs!$B$70</f>
        <v>0.57098024197734365</v>
      </c>
      <c r="T22" s="50">
        <f>'Pedestrian Users'!J25</f>
        <v>366.35908519143783</v>
      </c>
      <c r="U22" s="50">
        <f>Inputs!$B$20</f>
        <v>333</v>
      </c>
      <c r="V22" s="87">
        <f t="shared" si="3"/>
        <v>69658.205104697408</v>
      </c>
      <c r="W22" s="123">
        <f>ROUND(V22/((1+Inputs!$B$3)^($A22-2016)),0)</f>
        <v>18001</v>
      </c>
      <c r="X22" s="139">
        <f t="shared" si="4"/>
        <v>1723129.3161320058</v>
      </c>
      <c r="Y22" s="57">
        <f>ROUND(X22/((1+Inputs!$B$3)^($A22-2016)),0)</f>
        <v>445289</v>
      </c>
    </row>
    <row r="23" spans="1:25" x14ac:dyDescent="0.25">
      <c r="A23" s="127">
        <v>2037</v>
      </c>
      <c r="B23" s="130">
        <f>Inputs!$B$65</f>
        <v>12.149739716675199</v>
      </c>
      <c r="C23" s="50">
        <f>Inputs!$B$20</f>
        <v>333</v>
      </c>
      <c r="D23" s="93">
        <v>0.5</v>
      </c>
      <c r="E23" s="50">
        <f>'Bicycle Users'!L26</f>
        <v>71.499251113670567</v>
      </c>
      <c r="F23" s="87">
        <f t="shared" si="0"/>
        <v>144638.09894622141</v>
      </c>
      <c r="G23" s="123">
        <f>ROUND(F23/((1+Inputs!$B$3)^($A23-2016)),0)</f>
        <v>34932</v>
      </c>
      <c r="H23" s="130">
        <f>Inputs!$B$69</f>
        <v>6.5636254328475241</v>
      </c>
      <c r="I23" s="50">
        <f>'Bicycle Users'!I26</f>
        <v>37.046244100347423</v>
      </c>
      <c r="J23" s="67">
        <f>Inputs!$B$20</f>
        <v>333</v>
      </c>
      <c r="K23" s="87">
        <f t="shared" si="1"/>
        <v>80971.50409951646</v>
      </c>
      <c r="L23" s="123">
        <f>ROUND(K23/((1+Inputs!$B$3)^($A23-2016)),0)</f>
        <v>19556</v>
      </c>
      <c r="M23" s="130">
        <f>Inputs!$B$67</f>
        <v>12.149739716675199</v>
      </c>
      <c r="N23" s="50">
        <f>Inputs!$B$20</f>
        <v>333</v>
      </c>
      <c r="O23" s="108">
        <v>0.5</v>
      </c>
      <c r="P23" s="50">
        <f>'Pedestrian Users'!M26</f>
        <v>714.99251113670562</v>
      </c>
      <c r="Q23" s="87">
        <f t="shared" si="2"/>
        <v>1446380.9894622141</v>
      </c>
      <c r="R23" s="123">
        <f>ROUND(Q23/((1+Inputs!$B$3)^($A23-2016)),0)</f>
        <v>349320</v>
      </c>
      <c r="S23" s="130">
        <f>Inputs!$B$70</f>
        <v>0.57098024197734365</v>
      </c>
      <c r="T23" s="50">
        <f>'Pedestrian Users'!J26</f>
        <v>370.46244100347423</v>
      </c>
      <c r="U23" s="50">
        <f>Inputs!$B$20</f>
        <v>333</v>
      </c>
      <c r="V23" s="87">
        <f t="shared" si="3"/>
        <v>70438.402491157802</v>
      </c>
      <c r="W23" s="123">
        <f>ROUND(V23/((1+Inputs!$B$3)^($A23-2016)),0)</f>
        <v>17012</v>
      </c>
      <c r="X23" s="139">
        <f t="shared" si="4"/>
        <v>1742428.9949991098</v>
      </c>
      <c r="Y23" s="57">
        <f>ROUND(X23/((1+Inputs!$B$3)^($A23-2016)),0)</f>
        <v>420819</v>
      </c>
    </row>
    <row r="24" spans="1:25" x14ac:dyDescent="0.25">
      <c r="A24" s="127">
        <v>2038</v>
      </c>
      <c r="B24" s="130">
        <f>Inputs!$B$65</f>
        <v>12.149739716675199</v>
      </c>
      <c r="C24" s="50">
        <f>Inputs!$B$20</f>
        <v>333</v>
      </c>
      <c r="D24" s="93">
        <v>0.5</v>
      </c>
      <c r="E24" s="50">
        <f>'Bicycle Users'!L27</f>
        <v>72.30006888910583</v>
      </c>
      <c r="F24" s="87">
        <f t="shared" si="0"/>
        <v>146258.09858030363</v>
      </c>
      <c r="G24" s="123">
        <f>ROUND(F24/((1+Inputs!$B$3)^($A24-2016)),0)</f>
        <v>33012</v>
      </c>
      <c r="H24" s="130">
        <f>Inputs!$B$69</f>
        <v>6.5636254328475241</v>
      </c>
      <c r="I24" s="50">
        <f>'Bicycle Users'!I27</f>
        <v>37.461175590210274</v>
      </c>
      <c r="J24" s="67">
        <f>Inputs!$B$20</f>
        <v>333</v>
      </c>
      <c r="K24" s="87">
        <f t="shared" si="1"/>
        <v>81878.414574474242</v>
      </c>
      <c r="L24" s="123">
        <f>ROUND(K24/((1+Inputs!$B$3)^($A24-2016)),0)</f>
        <v>18481</v>
      </c>
      <c r="M24" s="130">
        <f>Inputs!$B$67</f>
        <v>12.149739716675199</v>
      </c>
      <c r="N24" s="50">
        <f>Inputs!$B$20</f>
        <v>333</v>
      </c>
      <c r="O24" s="108">
        <v>0.5</v>
      </c>
      <c r="P24" s="50">
        <f>'Pedestrian Users'!M27</f>
        <v>723.0006888910583</v>
      </c>
      <c r="Q24" s="87">
        <f t="shared" si="2"/>
        <v>1462580.9858030363</v>
      </c>
      <c r="R24" s="123">
        <f>ROUND(Q24/((1+Inputs!$B$3)^($A24-2016)),0)</f>
        <v>330124</v>
      </c>
      <c r="S24" s="130">
        <f>Inputs!$B$70</f>
        <v>0.57098024197734365</v>
      </c>
      <c r="T24" s="50">
        <f>'Pedestrian Users'!J27</f>
        <v>374.61175590210274</v>
      </c>
      <c r="U24" s="50">
        <f>Inputs!$B$20</f>
        <v>333</v>
      </c>
      <c r="V24" s="87">
        <f t="shared" si="3"/>
        <v>71227.338373835897</v>
      </c>
      <c r="W24" s="123">
        <f>ROUND(V24/((1+Inputs!$B$3)^($A24-2016)),0)</f>
        <v>16077</v>
      </c>
      <c r="X24" s="139">
        <f t="shared" si="4"/>
        <v>1761944.8373316501</v>
      </c>
      <c r="Y24" s="57">
        <f>ROUND(X24/((1+Inputs!$B$3)^($A24-2016)),0)</f>
        <v>397694</v>
      </c>
    </row>
    <row r="25" spans="1:25" x14ac:dyDescent="0.25">
      <c r="A25" s="127">
        <v>2039</v>
      </c>
      <c r="B25" s="130">
        <f>Inputs!$B$65</f>
        <v>12.149739716675199</v>
      </c>
      <c r="C25" s="50">
        <f>Inputs!$B$20</f>
        <v>333</v>
      </c>
      <c r="D25" s="93">
        <v>0.5</v>
      </c>
      <c r="E25" s="50">
        <f>'Bicycle Users'!L28</f>
        <v>73.109856116660779</v>
      </c>
      <c r="F25" s="87">
        <f t="shared" si="0"/>
        <v>147896.24280307695</v>
      </c>
      <c r="G25" s="123">
        <f>ROUND(F25/((1+Inputs!$B$3)^($A25-2016)),0)</f>
        <v>31198</v>
      </c>
      <c r="H25" s="130">
        <f>Inputs!$B$69</f>
        <v>6.5636254328475241</v>
      </c>
      <c r="I25" s="50">
        <f>'Bicycle Users'!I28</f>
        <v>37.880754464591078</v>
      </c>
      <c r="J25" s="67">
        <f>Inputs!$B$20</f>
        <v>333</v>
      </c>
      <c r="K25" s="87">
        <f t="shared" si="1"/>
        <v>82795.482778607722</v>
      </c>
      <c r="L25" s="123">
        <f>ROUND(K25/((1+Inputs!$B$3)^($A25-2016)),0)</f>
        <v>17465</v>
      </c>
      <c r="M25" s="130">
        <f>Inputs!$B$67</f>
        <v>12.149739716675199</v>
      </c>
      <c r="N25" s="50">
        <f>Inputs!$B$20</f>
        <v>333</v>
      </c>
      <c r="O25" s="108">
        <v>0.5</v>
      </c>
      <c r="P25" s="50">
        <f>'Pedestrian Users'!M28</f>
        <v>731.09856116660785</v>
      </c>
      <c r="Q25" s="87">
        <f t="shared" si="2"/>
        <v>1478962.4280307696</v>
      </c>
      <c r="R25" s="123">
        <f>ROUND(Q25/((1+Inputs!$B$3)^($A25-2016)),0)</f>
        <v>311983</v>
      </c>
      <c r="S25" s="130">
        <f>Inputs!$B$70</f>
        <v>0.57098024197734365</v>
      </c>
      <c r="T25" s="50">
        <f>'Pedestrian Users'!J28</f>
        <v>378.80754464591075</v>
      </c>
      <c r="U25" s="50">
        <f>Inputs!$B$20</f>
        <v>333</v>
      </c>
      <c r="V25" s="87">
        <f t="shared" si="3"/>
        <v>72025.11062708692</v>
      </c>
      <c r="W25" s="123">
        <f>ROUND(V25/((1+Inputs!$B$3)^($A25-2016)),0)</f>
        <v>15193</v>
      </c>
      <c r="X25" s="139">
        <f t="shared" si="4"/>
        <v>1781679.264239541</v>
      </c>
      <c r="Y25" s="57">
        <f>ROUND(X25/((1+Inputs!$B$3)^($A25-2016)),0)</f>
        <v>375840</v>
      </c>
    </row>
    <row r="26" spans="1:25" x14ac:dyDescent="0.25">
      <c r="A26" s="127">
        <v>2040</v>
      </c>
      <c r="B26" s="130">
        <f>Inputs!$B$65</f>
        <v>12.149739716675199</v>
      </c>
      <c r="C26" s="50">
        <f>Inputs!$B$20</f>
        <v>333</v>
      </c>
      <c r="D26" s="93">
        <v>0.5</v>
      </c>
      <c r="E26" s="50">
        <f>'Bicycle Users'!L29</f>
        <v>73.928713257481206</v>
      </c>
      <c r="F26" s="87">
        <f t="shared" si="0"/>
        <v>149552.73484057412</v>
      </c>
      <c r="G26" s="123">
        <f>ROUND(F26/((1+Inputs!$B$3)^($A26-2016)),0)</f>
        <v>29484</v>
      </c>
      <c r="H26" s="130">
        <f>Inputs!$B$69</f>
        <v>6.5636254328475241</v>
      </c>
      <c r="I26" s="50">
        <f>'Bicycle Users'!I29</f>
        <v>38.30503277589699</v>
      </c>
      <c r="J26" s="67">
        <f>Inputs!$B$20</f>
        <v>333</v>
      </c>
      <c r="K26" s="87">
        <f t="shared" si="1"/>
        <v>83722.822482200514</v>
      </c>
      <c r="L26" s="123">
        <f>ROUND(K26/((1+Inputs!$B$3)^($A26-2016)),0)</f>
        <v>16506</v>
      </c>
      <c r="M26" s="130">
        <f>Inputs!$B$67</f>
        <v>12.149739716675199</v>
      </c>
      <c r="N26" s="50">
        <f>Inputs!$B$20</f>
        <v>333</v>
      </c>
      <c r="O26" s="108">
        <v>0.5</v>
      </c>
      <c r="P26" s="50">
        <f>'Pedestrian Users'!M29</f>
        <v>739.28713257481206</v>
      </c>
      <c r="Q26" s="87">
        <f t="shared" si="2"/>
        <v>1495527.3484057412</v>
      </c>
      <c r="R26" s="123">
        <f>ROUND(Q26/((1+Inputs!$B$3)^($A26-2016)),0)</f>
        <v>294838</v>
      </c>
      <c r="S26" s="130">
        <f>Inputs!$B$70</f>
        <v>0.57098024197734365</v>
      </c>
      <c r="T26" s="50">
        <f>'Pedestrian Users'!J29</f>
        <v>383.0503277589699</v>
      </c>
      <c r="U26" s="50">
        <f>Inputs!$B$20</f>
        <v>333</v>
      </c>
      <c r="V26" s="87">
        <f t="shared" si="3"/>
        <v>72831.818221494701</v>
      </c>
      <c r="W26" s="123">
        <f>ROUND(V26/((1+Inputs!$B$3)^($A26-2016)),0)</f>
        <v>14359</v>
      </c>
      <c r="X26" s="139">
        <f t="shared" si="4"/>
        <v>1801634.7239500105</v>
      </c>
      <c r="Y26" s="57">
        <f>ROUND(X26/((1+Inputs!$B$3)^($A26-2016)),0)</f>
        <v>355186</v>
      </c>
    </row>
    <row r="27" spans="1:25" x14ac:dyDescent="0.25">
      <c r="A27" s="127">
        <v>2041</v>
      </c>
      <c r="B27" s="130">
        <f>Inputs!$B$65</f>
        <v>12.149739716675199</v>
      </c>
      <c r="C27" s="50">
        <f>Inputs!$B$20</f>
        <v>333</v>
      </c>
      <c r="D27" s="93">
        <v>0.5</v>
      </c>
      <c r="E27" s="50">
        <f>'Bicycle Users'!L30</f>
        <v>74.756741897914537</v>
      </c>
      <c r="F27" s="87">
        <f t="shared" si="0"/>
        <v>151227.78019503379</v>
      </c>
      <c r="G27" s="123">
        <f>ROUND(F27/((1+Inputs!$B$3)^($A27-2016)),0)</f>
        <v>27864</v>
      </c>
      <c r="H27" s="130">
        <f>Inputs!$B$69</f>
        <v>6.5636254328475241</v>
      </c>
      <c r="I27" s="50">
        <f>'Bicycle Users'!I30</f>
        <v>38.734063159541193</v>
      </c>
      <c r="J27" s="67">
        <f>Inputs!$B$20</f>
        <v>333</v>
      </c>
      <c r="K27" s="87">
        <f t="shared" si="1"/>
        <v>84660.548729805145</v>
      </c>
      <c r="L27" s="123">
        <f>ROUND(K27/((1+Inputs!$B$3)^($A27-2016)),0)</f>
        <v>15599</v>
      </c>
      <c r="M27" s="130">
        <f>Inputs!$B$67</f>
        <v>12.149739716675199</v>
      </c>
      <c r="N27" s="50">
        <f>Inputs!$B$20</f>
        <v>333</v>
      </c>
      <c r="O27" s="108">
        <v>0.5</v>
      </c>
      <c r="P27" s="50">
        <f>'Pedestrian Users'!M30</f>
        <v>747.56741897914537</v>
      </c>
      <c r="Q27" s="87">
        <f t="shared" si="2"/>
        <v>1512277.8019503381</v>
      </c>
      <c r="R27" s="123">
        <f>ROUND(Q27/((1+Inputs!$B$3)^($A27-2016)),0)</f>
        <v>278636</v>
      </c>
      <c r="S27" s="130">
        <f>Inputs!$B$70</f>
        <v>0.57098024197734365</v>
      </c>
      <c r="T27" s="50">
        <f>'Pedestrian Users'!J30</f>
        <v>387.34063159541193</v>
      </c>
      <c r="U27" s="50">
        <f>Inputs!$B$20</f>
        <v>333</v>
      </c>
      <c r="V27" s="87">
        <f t="shared" si="3"/>
        <v>73647.561236149806</v>
      </c>
      <c r="W27" s="123">
        <f>ROUND(V27/((1+Inputs!$B$3)^($A27-2016)),0)</f>
        <v>13570</v>
      </c>
      <c r="X27" s="139">
        <f t="shared" si="4"/>
        <v>1821813.6921113268</v>
      </c>
      <c r="Y27" s="57">
        <f>ROUND(X27/((1+Inputs!$B$3)^($A27-2016)),0)</f>
        <v>335668</v>
      </c>
    </row>
    <row r="28" spans="1:25" x14ac:dyDescent="0.25">
      <c r="A28" s="127">
        <v>2042</v>
      </c>
      <c r="B28" s="130">
        <f>Inputs!$B$65</f>
        <v>12.149739716675199</v>
      </c>
      <c r="C28" s="50">
        <f>Inputs!$B$20</f>
        <v>333</v>
      </c>
      <c r="D28" s="93">
        <v>0.5</v>
      </c>
      <c r="E28" s="50">
        <f>'Bicycle Users'!L31</f>
        <v>75.594044762112418</v>
      </c>
      <c r="F28" s="87">
        <f t="shared" si="0"/>
        <v>152921.58667039496</v>
      </c>
      <c r="G28" s="123">
        <f>ROUND(F28/((1+Inputs!$B$3)^($A28-2016)),0)</f>
        <v>26332</v>
      </c>
      <c r="H28" s="130">
        <f>Inputs!$B$69</f>
        <v>6.5636254328475241</v>
      </c>
      <c r="I28" s="50">
        <f>'Bicycle Users'!I31</f>
        <v>39.167898840472745</v>
      </c>
      <c r="J28" s="67">
        <f>Inputs!$B$20</f>
        <v>333</v>
      </c>
      <c r="K28" s="87">
        <f t="shared" si="1"/>
        <v>85608.777854515138</v>
      </c>
      <c r="L28" s="123">
        <f>ROUND(K28/((1+Inputs!$B$3)^($A28-2016)),0)</f>
        <v>14741</v>
      </c>
      <c r="M28" s="130">
        <f>Inputs!$B$67</f>
        <v>12.149739716675199</v>
      </c>
      <c r="N28" s="50">
        <f>Inputs!$B$20</f>
        <v>333</v>
      </c>
      <c r="O28" s="108">
        <v>0.5</v>
      </c>
      <c r="P28" s="50">
        <f>'Pedestrian Users'!M31</f>
        <v>755.94044762112412</v>
      </c>
      <c r="Q28" s="87">
        <f t="shared" si="2"/>
        <v>1529215.8667039494</v>
      </c>
      <c r="R28" s="123">
        <f>ROUND(Q28/((1+Inputs!$B$3)^($A28-2016)),0)</f>
        <v>263324</v>
      </c>
      <c r="S28" s="130">
        <f>Inputs!$B$70</f>
        <v>0.57098024197734365</v>
      </c>
      <c r="T28" s="50">
        <f>'Pedestrian Users'!J31</f>
        <v>391.67898840472742</v>
      </c>
      <c r="U28" s="50">
        <f>Inputs!$B$20</f>
        <v>333</v>
      </c>
      <c r="V28" s="87">
        <f t="shared" si="3"/>
        <v>74472.440871065221</v>
      </c>
      <c r="W28" s="123">
        <f>ROUND(V28/((1+Inputs!$B$3)^($A28-2016)),0)</f>
        <v>12824</v>
      </c>
      <c r="X28" s="139">
        <f t="shared" si="4"/>
        <v>1842218.6720999249</v>
      </c>
      <c r="Y28" s="57">
        <f>ROUND(X28/((1+Inputs!$B$3)^($A28-2016)),0)</f>
        <v>317222</v>
      </c>
    </row>
    <row r="29" spans="1:25" x14ac:dyDescent="0.25">
      <c r="A29" s="127">
        <v>2043</v>
      </c>
      <c r="B29" s="130">
        <f>Inputs!$B$65</f>
        <v>12.149739716675199</v>
      </c>
      <c r="C29" s="50">
        <f>Inputs!$B$20</f>
        <v>333</v>
      </c>
      <c r="D29" s="93">
        <v>0.5</v>
      </c>
      <c r="E29" s="50">
        <f>'Bicycle Users'!L32</f>
        <v>76.440725724774666</v>
      </c>
      <c r="F29" s="87">
        <f t="shared" si="0"/>
        <v>154634.36439807675</v>
      </c>
      <c r="G29" s="123">
        <f>ROUND(F29/((1+Inputs!$B$3)^($A29-2016)),0)</f>
        <v>24885</v>
      </c>
      <c r="H29" s="130">
        <f>Inputs!$B$69</f>
        <v>6.5636254328475241</v>
      </c>
      <c r="I29" s="50">
        <f>'Bicycle Users'!I32</f>
        <v>39.606593639779618</v>
      </c>
      <c r="J29" s="67">
        <f>Inputs!$B$20</f>
        <v>333</v>
      </c>
      <c r="K29" s="87">
        <f t="shared" si="1"/>
        <v>86567.627492397325</v>
      </c>
      <c r="L29" s="123">
        <f>ROUND(K29/((1+Inputs!$B$3)^($A29-2016)),0)</f>
        <v>13931</v>
      </c>
      <c r="M29" s="130">
        <f>Inputs!$B$67</f>
        <v>12.149739716675199</v>
      </c>
      <c r="N29" s="50">
        <f>Inputs!$B$20</f>
        <v>333</v>
      </c>
      <c r="O29" s="108">
        <v>0.5</v>
      </c>
      <c r="P29" s="50">
        <f>'Pedestrian Users'!M32</f>
        <v>764.40725724774666</v>
      </c>
      <c r="Q29" s="87">
        <f t="shared" si="2"/>
        <v>1546343.6439807678</v>
      </c>
      <c r="R29" s="123">
        <f>ROUND(Q29/((1+Inputs!$B$3)^($A29-2016)),0)</f>
        <v>248854</v>
      </c>
      <c r="S29" s="130">
        <f>Inputs!$B$70</f>
        <v>0.57098024197734365</v>
      </c>
      <c r="T29" s="50">
        <f>'Pedestrian Users'!J32</f>
        <v>396.06593639779618</v>
      </c>
      <c r="U29" s="50">
        <f>Inputs!$B$20</f>
        <v>333</v>
      </c>
      <c r="V29" s="87">
        <f t="shared" si="3"/>
        <v>75306.559459731157</v>
      </c>
      <c r="W29" s="123">
        <f>ROUND(V29/((1+Inputs!$B$3)^($A29-2016)),0)</f>
        <v>12119</v>
      </c>
      <c r="X29" s="139">
        <f t="shared" si="4"/>
        <v>1862852.195330973</v>
      </c>
      <c r="Y29" s="57">
        <f>ROUND(X29/((1+Inputs!$B$3)^($A29-2016)),0)</f>
        <v>299789</v>
      </c>
    </row>
    <row r="30" spans="1:25" x14ac:dyDescent="0.25">
      <c r="A30" s="127">
        <v>2044</v>
      </c>
      <c r="B30" s="130">
        <f>Inputs!$B$65</f>
        <v>12.149739716675199</v>
      </c>
      <c r="C30" s="50">
        <f>Inputs!$B$20</f>
        <v>333</v>
      </c>
      <c r="D30" s="93">
        <v>0.5</v>
      </c>
      <c r="E30" s="50">
        <f>'Bicycle Users'!L33</f>
        <v>77.296889824035702</v>
      </c>
      <c r="F30" s="87">
        <f t="shared" si="0"/>
        <v>156366.32586304718</v>
      </c>
      <c r="G30" s="123">
        <f>ROUND(F30/((1+Inputs!$B$3)^($A30-2016)),0)</f>
        <v>23518</v>
      </c>
      <c r="H30" s="130">
        <f>Inputs!$B$69</f>
        <v>6.5636254328475241</v>
      </c>
      <c r="I30" s="50">
        <f>'Bicycle Users'!I33</f>
        <v>40.050201981365646</v>
      </c>
      <c r="J30" s="67">
        <f>Inputs!$B$20</f>
        <v>333</v>
      </c>
      <c r="K30" s="87">
        <f t="shared" si="1"/>
        <v>87537.21659708544</v>
      </c>
      <c r="L30" s="123">
        <f>ROUND(K30/((1+Inputs!$B$3)^($A30-2016)),0)</f>
        <v>13166</v>
      </c>
      <c r="M30" s="130">
        <f>Inputs!$B$67</f>
        <v>12.149739716675199</v>
      </c>
      <c r="N30" s="50">
        <f>Inputs!$B$20</f>
        <v>333</v>
      </c>
      <c r="O30" s="108">
        <v>0.5</v>
      </c>
      <c r="P30" s="50">
        <f>'Pedestrian Users'!M33</f>
        <v>772.96889824035702</v>
      </c>
      <c r="Q30" s="87">
        <f t="shared" si="2"/>
        <v>1563663.2586304718</v>
      </c>
      <c r="R30" s="123">
        <f>ROUND(Q30/((1+Inputs!$B$3)^($A30-2016)),0)</f>
        <v>235178</v>
      </c>
      <c r="S30" s="130">
        <f>Inputs!$B$70</f>
        <v>0.57098024197734365</v>
      </c>
      <c r="T30" s="50">
        <f>'Pedestrian Users'!J33</f>
        <v>400.50201981365649</v>
      </c>
      <c r="U30" s="50">
        <f>Inputs!$B$20</f>
        <v>333</v>
      </c>
      <c r="V30" s="87">
        <f t="shared" si="3"/>
        <v>76150.020481810294</v>
      </c>
      <c r="W30" s="123">
        <f>ROUND(V30/((1+Inputs!$B$3)^($A30-2016)),0)</f>
        <v>11453</v>
      </c>
      <c r="X30" s="139">
        <f t="shared" si="4"/>
        <v>1883716.8215724146</v>
      </c>
      <c r="Y30" s="57">
        <f>ROUND(X30/((1+Inputs!$B$3)^($A30-2016)),0)</f>
        <v>283315</v>
      </c>
    </row>
    <row r="31" spans="1:25" x14ac:dyDescent="0.25">
      <c r="A31" s="127">
        <v>2045</v>
      </c>
      <c r="B31" s="130">
        <f>Inputs!$B$65</f>
        <v>12.149739716675199</v>
      </c>
      <c r="C31" s="50">
        <f>Inputs!$B$20</f>
        <v>333</v>
      </c>
      <c r="D31" s="93">
        <v>0.5</v>
      </c>
      <c r="E31" s="50">
        <f>'Bicycle Users'!L34</f>
        <v>78.16264327449548</v>
      </c>
      <c r="F31" s="87">
        <f t="shared" si="0"/>
        <v>158117.68593018348</v>
      </c>
      <c r="G31" s="123">
        <f>ROUND(F31/((1+Inputs!$B$3)^($A31-2016)),0)</f>
        <v>22225</v>
      </c>
      <c r="H31" s="130">
        <f>Inputs!$B$69</f>
        <v>6.5636254328475241</v>
      </c>
      <c r="I31" s="50">
        <f>'Bicycle Users'!I34</f>
        <v>40.498778898702327</v>
      </c>
      <c r="J31" s="67">
        <f>Inputs!$B$20</f>
        <v>333</v>
      </c>
      <c r="K31" s="87">
        <f t="shared" si="1"/>
        <v>88517.665454537477</v>
      </c>
      <c r="L31" s="123">
        <f>ROUND(K31/((1+Inputs!$B$3)^($A31-2016)),0)</f>
        <v>12442</v>
      </c>
      <c r="M31" s="130">
        <f>Inputs!$B$67</f>
        <v>12.149739716675199</v>
      </c>
      <c r="N31" s="50">
        <f>Inputs!$B$20</f>
        <v>333</v>
      </c>
      <c r="O31" s="108">
        <v>0.5</v>
      </c>
      <c r="P31" s="50">
        <f>'Pedestrian Users'!M34</f>
        <v>781.62643274495485</v>
      </c>
      <c r="Q31" s="87">
        <f t="shared" si="2"/>
        <v>1581176.8593018351</v>
      </c>
      <c r="R31" s="123">
        <f>ROUND(Q31/((1+Inputs!$B$3)^($A31-2016)),0)</f>
        <v>222255</v>
      </c>
      <c r="S31" s="130">
        <f>Inputs!$B$70</f>
        <v>0.57098024197734365</v>
      </c>
      <c r="T31" s="50">
        <f>'Pedestrian Users'!J34</f>
        <v>404.98778898702324</v>
      </c>
      <c r="U31" s="50">
        <f>Inputs!$B$20</f>
        <v>333</v>
      </c>
      <c r="V31" s="87">
        <f t="shared" si="3"/>
        <v>77002.928575975413</v>
      </c>
      <c r="W31" s="123">
        <f>ROUND(V31/((1+Inputs!$B$3)^($A31-2016)),0)</f>
        <v>10824</v>
      </c>
      <c r="X31" s="139">
        <f t="shared" si="4"/>
        <v>1904815.1392625314</v>
      </c>
      <c r="Y31" s="57">
        <f>ROUND(X31/((1+Inputs!$B$3)^($A31-2016)),0)</f>
        <v>267746</v>
      </c>
    </row>
    <row r="32" spans="1:25" x14ac:dyDescent="0.25">
      <c r="A32" s="127">
        <v>2046</v>
      </c>
      <c r="B32" s="130">
        <f>Inputs!$B$65</f>
        <v>12.149739716675199</v>
      </c>
      <c r="C32" s="50">
        <f>Inputs!$B$20</f>
        <v>333</v>
      </c>
      <c r="D32" s="93">
        <v>0.5</v>
      </c>
      <c r="E32" s="50">
        <f>'Bicycle Users'!L35</f>
        <v>79.038093480396441</v>
      </c>
      <c r="F32" s="87">
        <f t="shared" si="0"/>
        <v>159888.66187092845</v>
      </c>
      <c r="G32" s="123">
        <f>ROUND(F32/((1+Inputs!$B$3)^($A32-2016)),0)</f>
        <v>21004</v>
      </c>
      <c r="H32" s="130">
        <f>Inputs!$B$69</f>
        <v>6.5636254328475241</v>
      </c>
      <c r="I32" s="50">
        <f>'Bicycle Users'!I35</f>
        <v>40.952380041656184</v>
      </c>
      <c r="J32" s="67">
        <f>Inputs!$B$20</f>
        <v>333</v>
      </c>
      <c r="K32" s="87">
        <f t="shared" si="1"/>
        <v>89509.09569795827</v>
      </c>
      <c r="L32" s="123">
        <f>ROUND(K32/((1+Inputs!$B$3)^($A32-2016)),0)</f>
        <v>11759</v>
      </c>
      <c r="M32" s="130">
        <f>Inputs!$B$67</f>
        <v>12.149739716675199</v>
      </c>
      <c r="N32" s="50">
        <f>Inputs!$B$20</f>
        <v>333</v>
      </c>
      <c r="O32" s="108">
        <v>0.5</v>
      </c>
      <c r="P32" s="50">
        <f>'Pedestrian Users'!M35</f>
        <v>790.38093480396446</v>
      </c>
      <c r="Q32" s="87">
        <f t="shared" si="2"/>
        <v>1598886.6187092846</v>
      </c>
      <c r="R32" s="123">
        <f>ROUND(Q32/((1+Inputs!$B$3)^($A32-2016)),0)</f>
        <v>210041</v>
      </c>
      <c r="S32" s="130">
        <f>Inputs!$B$70</f>
        <v>0.57098024197734365</v>
      </c>
      <c r="T32" s="50">
        <f>'Pedestrian Users'!J35</f>
        <v>409.52380041656181</v>
      </c>
      <c r="U32" s="50">
        <f>Inputs!$B$20</f>
        <v>333</v>
      </c>
      <c r="V32" s="87">
        <f t="shared" si="3"/>
        <v>77865.389552890832</v>
      </c>
      <c r="W32" s="123">
        <f>ROUND(V32/((1+Inputs!$B$3)^($A32-2016)),0)</f>
        <v>10229</v>
      </c>
      <c r="X32" s="139">
        <f t="shared" si="4"/>
        <v>1926149.7658310621</v>
      </c>
      <c r="Y32" s="57">
        <f>ROUND(X32/((1+Inputs!$B$3)^($A32-2016)),0)</f>
        <v>253033</v>
      </c>
    </row>
    <row r="33" spans="1:25" x14ac:dyDescent="0.25">
      <c r="A33" s="127">
        <v>2047</v>
      </c>
      <c r="B33" s="130">
        <f>Inputs!$B$65</f>
        <v>12.149739716675199</v>
      </c>
      <c r="C33" s="50">
        <f>Inputs!$B$20</f>
        <v>333</v>
      </c>
      <c r="D33" s="93">
        <v>0.5</v>
      </c>
      <c r="E33" s="50">
        <f>'Bicycle Users'!L36</f>
        <v>79.923349048947699</v>
      </c>
      <c r="F33" s="87">
        <f t="shared" si="0"/>
        <v>161679.47339024421</v>
      </c>
      <c r="G33" s="123">
        <f>ROUND(F33/((1+Inputs!$B$3)^($A33-2016)),0)</f>
        <v>19850</v>
      </c>
      <c r="H33" s="130">
        <f>Inputs!$B$69</f>
        <v>6.5636254328475241</v>
      </c>
      <c r="I33" s="50">
        <f>'Bicycle Users'!I36</f>
        <v>41.411061683392575</v>
      </c>
      <c r="J33" s="67">
        <f>Inputs!$B$20</f>
        <v>333</v>
      </c>
      <c r="K33" s="87">
        <f t="shared" si="1"/>
        <v>90511.630322888916</v>
      </c>
      <c r="L33" s="123">
        <f>ROUND(K33/((1+Inputs!$B$3)^($A33-2016)),0)</f>
        <v>11112</v>
      </c>
      <c r="M33" s="130">
        <f>Inputs!$B$67</f>
        <v>12.149739716675199</v>
      </c>
      <c r="N33" s="50">
        <f>Inputs!$B$20</f>
        <v>333</v>
      </c>
      <c r="O33" s="108">
        <v>0.5</v>
      </c>
      <c r="P33" s="50">
        <f>'Pedestrian Users'!M36</f>
        <v>799.23349048947694</v>
      </c>
      <c r="Q33" s="87">
        <f t="shared" si="2"/>
        <v>1616794.7339024418</v>
      </c>
      <c r="R33" s="123">
        <f>ROUND(Q33/((1+Inputs!$B$3)^($A33-2016)),0)</f>
        <v>198499</v>
      </c>
      <c r="S33" s="130">
        <f>Inputs!$B$70</f>
        <v>0.57098024197734365</v>
      </c>
      <c r="T33" s="50">
        <f>'Pedestrian Users'!J36</f>
        <v>414.11061683392575</v>
      </c>
      <c r="U33" s="50">
        <f>Inputs!$B$20</f>
        <v>333</v>
      </c>
      <c r="V33" s="87">
        <f t="shared" si="3"/>
        <v>78737.510408338916</v>
      </c>
      <c r="W33" s="123">
        <f>ROUND(V33/((1+Inputs!$B$3)^($A33-2016)),0)</f>
        <v>9667</v>
      </c>
      <c r="X33" s="139">
        <f t="shared" si="4"/>
        <v>1947723.3480239138</v>
      </c>
      <c r="Y33" s="57">
        <f>ROUND(X33/((1+Inputs!$B$3)^($A33-2016)),0)</f>
        <v>239128</v>
      </c>
    </row>
    <row r="34" spans="1:25" x14ac:dyDescent="0.25">
      <c r="A34" s="127">
        <v>2048</v>
      </c>
      <c r="B34" s="130">
        <f>Inputs!$B$65</f>
        <v>12.149739716675199</v>
      </c>
      <c r="C34" s="50">
        <f>Inputs!$B$20</f>
        <v>333</v>
      </c>
      <c r="D34" s="93">
        <v>0.5</v>
      </c>
      <c r="E34" s="50">
        <f>'Bicycle Users'!L37</f>
        <v>80.818519803798893</v>
      </c>
      <c r="F34" s="87">
        <f t="shared" ref="F34:F35" si="6">E34*B34*C34*D34</f>
        <v>163490.34265386889</v>
      </c>
      <c r="G34" s="123">
        <f>ROUND(F34/((1+Inputs!$B$3)^($A34-2016)),0)</f>
        <v>18759</v>
      </c>
      <c r="H34" s="130">
        <f>Inputs!$B$69</f>
        <v>6.5636254328475241</v>
      </c>
      <c r="I34" s="50">
        <f>'Bicycle Users'!I37</f>
        <v>41.874880727356938</v>
      </c>
      <c r="J34" s="67">
        <f>Inputs!$B$20</f>
        <v>333</v>
      </c>
      <c r="K34" s="87">
        <f t="shared" ref="K34:K35" si="7">H34*I34*J34</f>
        <v>91525.393702465706</v>
      </c>
      <c r="L34" s="123">
        <f>ROUND(K34/((1+Inputs!$B$3)^($A34-2016)),0)</f>
        <v>10502</v>
      </c>
      <c r="M34" s="130">
        <f>Inputs!$B$67</f>
        <v>12.149739716675199</v>
      </c>
      <c r="N34" s="50">
        <f>Inputs!$B$20</f>
        <v>333</v>
      </c>
      <c r="O34" s="108">
        <v>0.5</v>
      </c>
      <c r="P34" s="50">
        <f>'Pedestrian Users'!M37</f>
        <v>808.18519803798893</v>
      </c>
      <c r="Q34" s="87">
        <f t="shared" ref="Q34:Q35" si="8">M34*N34*O34*P34</f>
        <v>1634903.4265386891</v>
      </c>
      <c r="R34" s="123">
        <f>ROUND(Q34/((1+Inputs!$B$3)^($A34-2016)),0)</f>
        <v>187591</v>
      </c>
      <c r="S34" s="130">
        <f>Inputs!$B$70</f>
        <v>0.57098024197734365</v>
      </c>
      <c r="T34" s="50">
        <f>'Pedestrian Users'!J37</f>
        <v>418.74880727356935</v>
      </c>
      <c r="U34" s="50">
        <f>Inputs!$B$20</f>
        <v>333</v>
      </c>
      <c r="V34" s="87">
        <f t="shared" ref="V34:V35" si="9">S34*T34*U34</f>
        <v>79619.399336493967</v>
      </c>
      <c r="W34" s="123">
        <f>ROUND(V34/((1+Inputs!$B$3)^($A34-2016)),0)</f>
        <v>9136</v>
      </c>
      <c r="X34" s="139">
        <f t="shared" ref="X34:X35" si="10">SUM(F34,K34,Q34,V34)</f>
        <v>1969538.5622315176</v>
      </c>
      <c r="Y34" s="57">
        <f>ROUND(X34/((1+Inputs!$B$3)^($A34-2016)),0)</f>
        <v>225987</v>
      </c>
    </row>
    <row r="35" spans="1:25" ht="15.75" thickBot="1" x14ac:dyDescent="0.3">
      <c r="A35" s="127">
        <v>2049</v>
      </c>
      <c r="B35" s="130">
        <f>Inputs!$B$65</f>
        <v>12.149739716675199</v>
      </c>
      <c r="C35" s="50">
        <f>Inputs!$B$20</f>
        <v>333</v>
      </c>
      <c r="D35" s="93">
        <v>0.5</v>
      </c>
      <c r="E35" s="50">
        <f>'Bicycle Users'!L38</f>
        <v>81.723716798664753</v>
      </c>
      <c r="F35" s="87">
        <f t="shared" si="6"/>
        <v>165321.49431587837</v>
      </c>
      <c r="G35" s="123">
        <f>ROUND(F35/((1+Inputs!$B$3)^($A35-2016)),0)</f>
        <v>17728</v>
      </c>
      <c r="H35" s="130">
        <f>Inputs!$B$69</f>
        <v>6.5636254328475241</v>
      </c>
      <c r="I35" s="50">
        <f>'Bicycle Users'!I38</f>
        <v>42.343894714334056</v>
      </c>
      <c r="J35" s="67">
        <f>Inputs!$B$20</f>
        <v>333</v>
      </c>
      <c r="K35" s="87">
        <f t="shared" si="7"/>
        <v>92550.511602849336</v>
      </c>
      <c r="L35" s="123">
        <f>ROUND(K35/((1+Inputs!$B$3)^($A35-2016)),0)</f>
        <v>9925</v>
      </c>
      <c r="M35" s="130">
        <f>Inputs!$B$67</f>
        <v>12.149739716675199</v>
      </c>
      <c r="N35" s="50">
        <f>Inputs!$B$20</f>
        <v>333</v>
      </c>
      <c r="O35" s="108">
        <v>0.5</v>
      </c>
      <c r="P35" s="50">
        <f>'Pedestrian Users'!M38</f>
        <v>817.23716798664759</v>
      </c>
      <c r="Q35" s="87">
        <f t="shared" si="8"/>
        <v>1653214.9431587839</v>
      </c>
      <c r="R35" s="123">
        <f>ROUND(Q35/((1+Inputs!$B$3)^($A35-2016)),0)</f>
        <v>177282</v>
      </c>
      <c r="S35" s="130">
        <f>Inputs!$B$70</f>
        <v>0.57098024197734365</v>
      </c>
      <c r="T35" s="50">
        <f>'Pedestrian Users'!J38</f>
        <v>423.43894714334056</v>
      </c>
      <c r="U35" s="50">
        <f>Inputs!$B$20</f>
        <v>333</v>
      </c>
      <c r="V35" s="87">
        <f t="shared" si="9"/>
        <v>80511.165743344565</v>
      </c>
      <c r="W35" s="123">
        <f>ROUND(V35/((1+Inputs!$B$3)^($A35-2016)),0)</f>
        <v>8634</v>
      </c>
      <c r="X35" s="139">
        <f t="shared" si="10"/>
        <v>1991598.1148208561</v>
      </c>
      <c r="Y35" s="57">
        <f>ROUND(X35/((1+Inputs!$B$3)^($A35-2016)),0)</f>
        <v>213568</v>
      </c>
    </row>
    <row r="36" spans="1:25" s="33" customFormat="1" ht="15.75" thickBot="1" x14ac:dyDescent="0.3">
      <c r="A36" s="134" t="s">
        <v>165</v>
      </c>
      <c r="B36" s="135"/>
      <c r="C36" s="136"/>
      <c r="D36" s="136"/>
      <c r="E36" s="136">
        <f>SUM(E4:E35)</f>
        <v>2095.7814180168471</v>
      </c>
      <c r="F36" s="77">
        <f>SUM(F4:F35)</f>
        <v>4239622.5888695335</v>
      </c>
      <c r="G36" s="79">
        <f>SUM(G4:G35)</f>
        <v>1356711</v>
      </c>
      <c r="H36" s="135"/>
      <c r="I36" s="136">
        <f>SUM(I4:I35)</f>
        <v>1085.8971077807494</v>
      </c>
      <c r="J36" s="76"/>
      <c r="K36" s="77">
        <f>SUM(K4:K35)</f>
        <v>2373431.484070404</v>
      </c>
      <c r="L36" s="79">
        <f>SUM(L4:L35)</f>
        <v>759517</v>
      </c>
      <c r="M36" s="135"/>
      <c r="N36" s="136"/>
      <c r="O36" s="136"/>
      <c r="P36" s="136">
        <f>SUM(P4:P35)</f>
        <v>20957.814180168476</v>
      </c>
      <c r="Q36" s="77">
        <f>SUM(Q4:Q35)</f>
        <v>42396225.888695344</v>
      </c>
      <c r="R36" s="79">
        <f>SUM(R4:R35)</f>
        <v>13567120</v>
      </c>
      <c r="S36" s="135"/>
      <c r="T36" s="136">
        <f>SUM(T4:T35)</f>
        <v>10858.971077807499</v>
      </c>
      <c r="U36" s="136"/>
      <c r="V36" s="77">
        <f>SUM(V4:V35)</f>
        <v>2064685.8918992898</v>
      </c>
      <c r="W36" s="79">
        <f>SUM(W4:W35)</f>
        <v>660716</v>
      </c>
      <c r="X36" s="34">
        <f>SUM(X4:X35)</f>
        <v>51073965.853534579</v>
      </c>
      <c r="Y36" s="121">
        <f>SUM(Y4:Y35)</f>
        <v>16344061</v>
      </c>
    </row>
    <row r="37" spans="1:25" x14ac:dyDescent="0.25">
      <c r="A37" s="103"/>
      <c r="B37" s="59"/>
      <c r="C37" s="104"/>
      <c r="D37" s="104"/>
      <c r="E37" s="104"/>
      <c r="F37" s="105"/>
      <c r="G37" s="105"/>
      <c r="H37" s="105"/>
      <c r="I37" s="104"/>
      <c r="J37" s="103"/>
      <c r="K37" s="105"/>
      <c r="L37" s="105"/>
      <c r="M37" s="59"/>
      <c r="N37" s="104"/>
      <c r="O37" s="104"/>
      <c r="P37" s="104"/>
      <c r="Q37" s="105"/>
      <c r="R37" s="105"/>
      <c r="S37" s="105"/>
      <c r="T37" s="104"/>
      <c r="U37" s="104"/>
      <c r="V37" s="105"/>
      <c r="W37" s="105"/>
    </row>
    <row r="38" spans="1:25" ht="15.75" thickBot="1" x14ac:dyDescent="0.3">
      <c r="M38" s="59"/>
      <c r="N38" s="104"/>
      <c r="O38" s="104"/>
      <c r="P38" s="104"/>
      <c r="Q38" s="105"/>
      <c r="R38" s="105"/>
    </row>
    <row r="39" spans="1:25" ht="15.75" thickBot="1" x14ac:dyDescent="0.3">
      <c r="A39" s="674" t="s">
        <v>132</v>
      </c>
      <c r="B39" s="676" t="s">
        <v>166</v>
      </c>
      <c r="C39" s="677"/>
      <c r="D39" s="677"/>
      <c r="E39" s="677"/>
      <c r="F39" s="677"/>
      <c r="G39" s="677"/>
      <c r="H39" s="677"/>
      <c r="I39" s="677"/>
      <c r="J39" s="677"/>
      <c r="K39" s="677"/>
      <c r="L39" s="678"/>
      <c r="M39" s="679" t="s">
        <v>172</v>
      </c>
      <c r="N39" s="680"/>
      <c r="O39" s="680"/>
      <c r="P39" s="680"/>
      <c r="Q39" s="680"/>
      <c r="R39" s="680"/>
      <c r="S39" s="680"/>
      <c r="T39" s="680"/>
      <c r="U39" s="680"/>
      <c r="V39" s="680"/>
      <c r="W39" s="681"/>
      <c r="X39" s="682" t="s">
        <v>188</v>
      </c>
      <c r="Y39" s="683"/>
    </row>
    <row r="40" spans="1:25" ht="15.75" thickBot="1" x14ac:dyDescent="0.3">
      <c r="A40" s="675"/>
      <c r="B40" s="686" t="s">
        <v>192</v>
      </c>
      <c r="C40" s="687"/>
      <c r="D40" s="687"/>
      <c r="E40" s="687"/>
      <c r="F40" s="687"/>
      <c r="G40" s="688"/>
      <c r="H40" s="689" t="s">
        <v>195</v>
      </c>
      <c r="I40" s="690"/>
      <c r="J40" s="690"/>
      <c r="K40" s="690"/>
      <c r="L40" s="691"/>
      <c r="M40" s="692" t="s">
        <v>192</v>
      </c>
      <c r="N40" s="693"/>
      <c r="O40" s="693"/>
      <c r="P40" s="693"/>
      <c r="Q40" s="693"/>
      <c r="R40" s="694"/>
      <c r="S40" s="692" t="s">
        <v>105</v>
      </c>
      <c r="T40" s="693"/>
      <c r="U40" s="693"/>
      <c r="V40" s="693"/>
      <c r="W40" s="694"/>
      <c r="X40" s="684"/>
      <c r="Y40" s="685"/>
    </row>
    <row r="41" spans="1:25" ht="60" x14ac:dyDescent="0.25">
      <c r="A41" s="675"/>
      <c r="B41" s="128" t="s">
        <v>793</v>
      </c>
      <c r="C41" s="49" t="s">
        <v>189</v>
      </c>
      <c r="D41" s="49" t="s">
        <v>363</v>
      </c>
      <c r="E41" s="49" t="s">
        <v>190</v>
      </c>
      <c r="F41" s="102" t="s">
        <v>191</v>
      </c>
      <c r="G41" s="129" t="s">
        <v>792</v>
      </c>
      <c r="H41" s="131" t="s">
        <v>794</v>
      </c>
      <c r="I41" s="49" t="s">
        <v>193</v>
      </c>
      <c r="J41" s="101" t="s">
        <v>194</v>
      </c>
      <c r="K41" s="102" t="s">
        <v>191</v>
      </c>
      <c r="L41" s="129" t="s">
        <v>792</v>
      </c>
      <c r="M41" s="128" t="s">
        <v>793</v>
      </c>
      <c r="N41" s="49" t="s">
        <v>196</v>
      </c>
      <c r="O41" s="49" t="s">
        <v>364</v>
      </c>
      <c r="P41" s="49" t="s">
        <v>190</v>
      </c>
      <c r="Q41" s="102" t="s">
        <v>191</v>
      </c>
      <c r="R41" s="129" t="s">
        <v>197</v>
      </c>
      <c r="S41" s="131" t="s">
        <v>198</v>
      </c>
      <c r="T41" s="49" t="s">
        <v>193</v>
      </c>
      <c r="U41" s="49" t="s">
        <v>196</v>
      </c>
      <c r="V41" s="102" t="s">
        <v>191</v>
      </c>
      <c r="W41" s="129" t="s">
        <v>795</v>
      </c>
      <c r="X41" s="138" t="s">
        <v>191</v>
      </c>
      <c r="Y41" s="140" t="s">
        <v>792</v>
      </c>
    </row>
    <row r="42" spans="1:25" x14ac:dyDescent="0.25">
      <c r="A42" s="127">
        <v>2018</v>
      </c>
      <c r="B42" s="130">
        <f>B4</f>
        <v>12.149739716675199</v>
      </c>
      <c r="C42" s="50">
        <f t="shared" ref="C42:U42" si="11">C4</f>
        <v>333</v>
      </c>
      <c r="D42" s="93">
        <f t="shared" si="11"/>
        <v>0.5</v>
      </c>
      <c r="E42" s="50">
        <f t="shared" si="11"/>
        <v>0</v>
      </c>
      <c r="F42" s="87">
        <f>ROUND(F4,-3)</f>
        <v>0</v>
      </c>
      <c r="G42" s="123">
        <f>ROUND(G4,-3)</f>
        <v>0</v>
      </c>
      <c r="H42" s="130">
        <f t="shared" si="11"/>
        <v>6.5636254328475241</v>
      </c>
      <c r="I42" s="50">
        <f t="shared" si="11"/>
        <v>0</v>
      </c>
      <c r="J42" s="67">
        <f t="shared" si="11"/>
        <v>333</v>
      </c>
      <c r="K42" s="87">
        <f>ROUND(K4,-3)</f>
        <v>0</v>
      </c>
      <c r="L42" s="123">
        <f>ROUND(L4,-3)</f>
        <v>0</v>
      </c>
      <c r="M42" s="130">
        <f t="shared" si="11"/>
        <v>12.149739716675199</v>
      </c>
      <c r="N42" s="50">
        <f t="shared" si="11"/>
        <v>333</v>
      </c>
      <c r="O42" s="108">
        <f t="shared" si="11"/>
        <v>0.5</v>
      </c>
      <c r="P42" s="50">
        <f t="shared" si="11"/>
        <v>0</v>
      </c>
      <c r="Q42" s="87">
        <f>ROUND(Q4,-3)</f>
        <v>0</v>
      </c>
      <c r="R42" s="123">
        <f>ROUND(R4,-3)</f>
        <v>0</v>
      </c>
      <c r="S42" s="130">
        <f t="shared" si="11"/>
        <v>0.57098024197734365</v>
      </c>
      <c r="T42" s="50">
        <f t="shared" si="11"/>
        <v>0</v>
      </c>
      <c r="U42" s="50">
        <f t="shared" si="11"/>
        <v>333</v>
      </c>
      <c r="V42" s="87">
        <f>ROUND(V4,-3)</f>
        <v>0</v>
      </c>
      <c r="W42" s="123">
        <f>ROUND(W4,-3)</f>
        <v>0</v>
      </c>
      <c r="X42" s="139">
        <f>ROUND(X4,-3)</f>
        <v>0</v>
      </c>
      <c r="Y42" s="57">
        <f>ROUND(Y4,-3)</f>
        <v>0</v>
      </c>
    </row>
    <row r="43" spans="1:25" x14ac:dyDescent="0.25">
      <c r="A43" s="127">
        <v>2019</v>
      </c>
      <c r="B43" s="130">
        <f t="shared" ref="B43:E43" si="12">B5</f>
        <v>12.149739716675199</v>
      </c>
      <c r="C43" s="50">
        <f t="shared" si="12"/>
        <v>333</v>
      </c>
      <c r="D43" s="93">
        <f t="shared" si="12"/>
        <v>0.5</v>
      </c>
      <c r="E43" s="50">
        <f t="shared" si="12"/>
        <v>0</v>
      </c>
      <c r="F43" s="87">
        <f t="shared" ref="F43:G43" si="13">ROUND(F5,-3)</f>
        <v>0</v>
      </c>
      <c r="G43" s="123">
        <f t="shared" si="13"/>
        <v>0</v>
      </c>
      <c r="H43" s="130">
        <f t="shared" ref="H43:J43" si="14">H5</f>
        <v>6.5636254328475241</v>
      </c>
      <c r="I43" s="50">
        <f t="shared" si="14"/>
        <v>0</v>
      </c>
      <c r="J43" s="67">
        <f t="shared" si="14"/>
        <v>333</v>
      </c>
      <c r="K43" s="87">
        <f t="shared" ref="K43:L43" si="15">ROUND(K5,-3)</f>
        <v>0</v>
      </c>
      <c r="L43" s="123">
        <f t="shared" si="15"/>
        <v>0</v>
      </c>
      <c r="M43" s="130">
        <f t="shared" ref="M43:P43" si="16">M5</f>
        <v>12.149739716675199</v>
      </c>
      <c r="N43" s="50">
        <f t="shared" si="16"/>
        <v>333</v>
      </c>
      <c r="O43" s="108">
        <f t="shared" si="16"/>
        <v>0.5</v>
      </c>
      <c r="P43" s="50">
        <f t="shared" si="16"/>
        <v>0</v>
      </c>
      <c r="Q43" s="87">
        <f t="shared" ref="Q43:R43" si="17">ROUND(Q5,-3)</f>
        <v>0</v>
      </c>
      <c r="R43" s="123">
        <f t="shared" si="17"/>
        <v>0</v>
      </c>
      <c r="S43" s="130">
        <f t="shared" ref="S43:U43" si="18">S5</f>
        <v>0.57098024197734365</v>
      </c>
      <c r="T43" s="50">
        <f t="shared" si="18"/>
        <v>0</v>
      </c>
      <c r="U43" s="50">
        <f t="shared" si="18"/>
        <v>333</v>
      </c>
      <c r="V43" s="87">
        <f t="shared" ref="V43:Y43" si="19">ROUND(V5,-3)</f>
        <v>0</v>
      </c>
      <c r="W43" s="123">
        <f t="shared" si="19"/>
        <v>0</v>
      </c>
      <c r="X43" s="139">
        <f t="shared" si="19"/>
        <v>0</v>
      </c>
      <c r="Y43" s="57">
        <f t="shared" si="19"/>
        <v>0</v>
      </c>
    </row>
    <row r="44" spans="1:25" x14ac:dyDescent="0.25">
      <c r="A44" s="127">
        <v>2020</v>
      </c>
      <c r="B44" s="130">
        <f t="shared" ref="B44:E44" si="20">B6</f>
        <v>12.149739716675199</v>
      </c>
      <c r="C44" s="50">
        <f t="shared" si="20"/>
        <v>333</v>
      </c>
      <c r="D44" s="93">
        <f t="shared" si="20"/>
        <v>0.5</v>
      </c>
      <c r="E44" s="50">
        <f t="shared" si="20"/>
        <v>59.165533562259668</v>
      </c>
      <c r="F44" s="87">
        <f t="shared" ref="F44:G44" si="21">ROUND(F6,-3)</f>
        <v>120000</v>
      </c>
      <c r="G44" s="123">
        <f t="shared" si="21"/>
        <v>91000</v>
      </c>
      <c r="H44" s="130">
        <f t="shared" ref="H44:J44" si="22">H6</f>
        <v>6.5636254328475241</v>
      </c>
      <c r="I44" s="50">
        <f t="shared" si="22"/>
        <v>30.655716871637125</v>
      </c>
      <c r="J44" s="67">
        <f t="shared" si="22"/>
        <v>333</v>
      </c>
      <c r="K44" s="87">
        <f t="shared" ref="K44:L44" si="23">ROUND(K6,-3)</f>
        <v>67000</v>
      </c>
      <c r="L44" s="123">
        <f t="shared" si="23"/>
        <v>51000</v>
      </c>
      <c r="M44" s="130">
        <f t="shared" ref="M44:P44" si="24">M6</f>
        <v>12.149739716675199</v>
      </c>
      <c r="N44" s="50">
        <f t="shared" si="24"/>
        <v>333</v>
      </c>
      <c r="O44" s="108">
        <f t="shared" si="24"/>
        <v>0.5</v>
      </c>
      <c r="P44" s="50">
        <f t="shared" si="24"/>
        <v>591.65533562259668</v>
      </c>
      <c r="Q44" s="87">
        <f t="shared" ref="Q44:R44" si="25">ROUND(Q6,-3)</f>
        <v>1197000</v>
      </c>
      <c r="R44" s="123">
        <f t="shared" si="25"/>
        <v>913000</v>
      </c>
      <c r="S44" s="130">
        <f t="shared" ref="S44:U44" si="26">S6</f>
        <v>0.57098024197734365</v>
      </c>
      <c r="T44" s="50">
        <f t="shared" si="26"/>
        <v>306.55716871637128</v>
      </c>
      <c r="U44" s="50">
        <f t="shared" si="26"/>
        <v>333</v>
      </c>
      <c r="V44" s="87">
        <f t="shared" ref="V44:Y44" si="27">ROUND(V6,-3)</f>
        <v>58000</v>
      </c>
      <c r="W44" s="123">
        <f t="shared" si="27"/>
        <v>44000</v>
      </c>
      <c r="X44" s="139">
        <f t="shared" si="27"/>
        <v>1442000</v>
      </c>
      <c r="Y44" s="57">
        <f t="shared" si="27"/>
        <v>1100000</v>
      </c>
    </row>
    <row r="45" spans="1:25" x14ac:dyDescent="0.25">
      <c r="A45" s="127">
        <v>2021</v>
      </c>
      <c r="B45" s="130">
        <f t="shared" ref="B45:E45" si="28">B7</f>
        <v>12.149739716675199</v>
      </c>
      <c r="C45" s="50">
        <f t="shared" si="28"/>
        <v>333</v>
      </c>
      <c r="D45" s="93">
        <f t="shared" si="28"/>
        <v>0.5</v>
      </c>
      <c r="E45" s="50">
        <f t="shared" si="28"/>
        <v>59.828209187972789</v>
      </c>
      <c r="F45" s="87">
        <f t="shared" ref="F45:G45" si="29">ROUND(F7,-3)</f>
        <v>121000</v>
      </c>
      <c r="G45" s="123">
        <f t="shared" si="29"/>
        <v>86000</v>
      </c>
      <c r="H45" s="130">
        <f t="shared" ref="H45:J45" si="30">H7</f>
        <v>6.5636254328475241</v>
      </c>
      <c r="I45" s="50">
        <f t="shared" si="30"/>
        <v>30.999072118120623</v>
      </c>
      <c r="J45" s="67">
        <f t="shared" si="30"/>
        <v>333</v>
      </c>
      <c r="K45" s="87">
        <f t="shared" ref="K45:L45" si="31">ROUND(K7,-3)</f>
        <v>68000</v>
      </c>
      <c r="L45" s="123">
        <f t="shared" si="31"/>
        <v>48000</v>
      </c>
      <c r="M45" s="130">
        <f t="shared" ref="M45:P45" si="32">M7</f>
        <v>12.149739716675199</v>
      </c>
      <c r="N45" s="50">
        <f t="shared" si="32"/>
        <v>333</v>
      </c>
      <c r="O45" s="108">
        <f t="shared" si="32"/>
        <v>0.5</v>
      </c>
      <c r="P45" s="50">
        <f t="shared" si="32"/>
        <v>598.28209187972789</v>
      </c>
      <c r="Q45" s="87">
        <f t="shared" ref="Q45:R45" si="33">ROUND(Q7,-3)</f>
        <v>1210000</v>
      </c>
      <c r="R45" s="123">
        <f t="shared" si="33"/>
        <v>863000</v>
      </c>
      <c r="S45" s="130">
        <f t="shared" ref="S45:U45" si="34">S7</f>
        <v>0.57098024197734365</v>
      </c>
      <c r="T45" s="50">
        <f t="shared" si="34"/>
        <v>309.99072118120625</v>
      </c>
      <c r="U45" s="50">
        <f t="shared" si="34"/>
        <v>333</v>
      </c>
      <c r="V45" s="87">
        <f t="shared" ref="V45:Y45" si="35">ROUND(V7,-3)</f>
        <v>59000</v>
      </c>
      <c r="W45" s="123">
        <f t="shared" si="35"/>
        <v>42000</v>
      </c>
      <c r="X45" s="139">
        <f t="shared" si="35"/>
        <v>1458000</v>
      </c>
      <c r="Y45" s="57">
        <f t="shared" si="35"/>
        <v>1040000</v>
      </c>
    </row>
    <row r="46" spans="1:25" x14ac:dyDescent="0.25">
      <c r="A46" s="127">
        <v>2022</v>
      </c>
      <c r="B46" s="130">
        <f t="shared" ref="B46:E46" si="36">B8</f>
        <v>12.149739716675199</v>
      </c>
      <c r="C46" s="50">
        <f t="shared" si="36"/>
        <v>333</v>
      </c>
      <c r="D46" s="93">
        <f t="shared" si="36"/>
        <v>0.5</v>
      </c>
      <c r="E46" s="50">
        <f t="shared" si="36"/>
        <v>60.498307023179791</v>
      </c>
      <c r="F46" s="87">
        <f t="shared" ref="F46:G46" si="37">ROUND(F8,-3)</f>
        <v>122000</v>
      </c>
      <c r="G46" s="123">
        <f t="shared" si="37"/>
        <v>82000</v>
      </c>
      <c r="H46" s="130">
        <f t="shared" ref="H46:J46" si="38">H8</f>
        <v>6.5636254328475241</v>
      </c>
      <c r="I46" s="50">
        <f t="shared" si="38"/>
        <v>31.346273069005065</v>
      </c>
      <c r="J46" s="67">
        <f t="shared" si="38"/>
        <v>333</v>
      </c>
      <c r="K46" s="87">
        <f t="shared" ref="K46:L46" si="39">ROUND(K8,-3)</f>
        <v>69000</v>
      </c>
      <c r="L46" s="123">
        <f t="shared" si="39"/>
        <v>46000</v>
      </c>
      <c r="M46" s="130">
        <f t="shared" ref="M46:P46" si="40">M8</f>
        <v>12.149739716675199</v>
      </c>
      <c r="N46" s="50">
        <f t="shared" si="40"/>
        <v>333</v>
      </c>
      <c r="O46" s="108">
        <f t="shared" si="40"/>
        <v>0.5</v>
      </c>
      <c r="P46" s="50">
        <f t="shared" si="40"/>
        <v>604.98307023179791</v>
      </c>
      <c r="Q46" s="87">
        <f t="shared" ref="Q46:R46" si="41">ROUND(Q8,-3)</f>
        <v>1224000</v>
      </c>
      <c r="R46" s="123">
        <f t="shared" si="41"/>
        <v>815000</v>
      </c>
      <c r="S46" s="130">
        <f t="shared" ref="S46:U46" si="42">S8</f>
        <v>0.57098024197734365</v>
      </c>
      <c r="T46" s="50">
        <f t="shared" si="42"/>
        <v>313.46273069005065</v>
      </c>
      <c r="U46" s="50">
        <f t="shared" si="42"/>
        <v>333</v>
      </c>
      <c r="V46" s="87">
        <f t="shared" ref="V46:Y46" si="43">ROUND(V8,-3)</f>
        <v>60000</v>
      </c>
      <c r="W46" s="123">
        <f t="shared" si="43"/>
        <v>40000</v>
      </c>
      <c r="X46" s="139">
        <f t="shared" si="43"/>
        <v>1474000</v>
      </c>
      <c r="Y46" s="57">
        <f t="shared" si="43"/>
        <v>982000</v>
      </c>
    </row>
    <row r="47" spans="1:25" x14ac:dyDescent="0.25">
      <c r="A47" s="127">
        <v>2023</v>
      </c>
      <c r="B47" s="130">
        <f t="shared" ref="B47:E47" si="44">B9</f>
        <v>12.149739716675199</v>
      </c>
      <c r="C47" s="50">
        <f t="shared" si="44"/>
        <v>333</v>
      </c>
      <c r="D47" s="93">
        <f t="shared" si="44"/>
        <v>0.5</v>
      </c>
      <c r="E47" s="50">
        <f t="shared" si="44"/>
        <v>61.175910199342866</v>
      </c>
      <c r="F47" s="87">
        <f t="shared" ref="F47:G47" si="45">ROUND(F9,-3)</f>
        <v>124000</v>
      </c>
      <c r="G47" s="123">
        <f t="shared" si="45"/>
        <v>77000</v>
      </c>
      <c r="H47" s="130">
        <f t="shared" ref="H47:J47" si="46">H9</f>
        <v>6.5636254328475241</v>
      </c>
      <c r="I47" s="50">
        <f t="shared" si="46"/>
        <v>31.697362797586976</v>
      </c>
      <c r="J47" s="67">
        <f t="shared" si="46"/>
        <v>333</v>
      </c>
      <c r="K47" s="87">
        <f t="shared" ref="K47:L47" si="47">ROUND(K9,-3)</f>
        <v>69000</v>
      </c>
      <c r="L47" s="123">
        <f t="shared" si="47"/>
        <v>43000</v>
      </c>
      <c r="M47" s="130">
        <f t="shared" ref="M47:P47" si="48">M9</f>
        <v>12.149739716675199</v>
      </c>
      <c r="N47" s="50">
        <f t="shared" si="48"/>
        <v>333</v>
      </c>
      <c r="O47" s="108">
        <f t="shared" si="48"/>
        <v>0.5</v>
      </c>
      <c r="P47" s="50">
        <f t="shared" si="48"/>
        <v>611.75910199342866</v>
      </c>
      <c r="Q47" s="87">
        <f t="shared" ref="Q47:R47" si="49">ROUND(Q9,-3)</f>
        <v>1238000</v>
      </c>
      <c r="R47" s="123">
        <f t="shared" si="49"/>
        <v>771000</v>
      </c>
      <c r="S47" s="130">
        <f t="shared" ref="S47:U47" si="50">S9</f>
        <v>0.57098024197734365</v>
      </c>
      <c r="T47" s="50">
        <f t="shared" si="50"/>
        <v>316.97362797586976</v>
      </c>
      <c r="U47" s="50">
        <f t="shared" si="50"/>
        <v>333</v>
      </c>
      <c r="V47" s="87">
        <f t="shared" ref="V47:Y47" si="51">ROUND(V9,-3)</f>
        <v>60000</v>
      </c>
      <c r="W47" s="123">
        <f t="shared" si="51"/>
        <v>38000</v>
      </c>
      <c r="X47" s="139">
        <f t="shared" si="51"/>
        <v>1491000</v>
      </c>
      <c r="Y47" s="57">
        <f t="shared" si="51"/>
        <v>928000</v>
      </c>
    </row>
    <row r="48" spans="1:25" x14ac:dyDescent="0.25">
      <c r="A48" s="127">
        <v>2024</v>
      </c>
      <c r="B48" s="130">
        <f t="shared" ref="B48:E48" si="52">B10</f>
        <v>12.149739716675199</v>
      </c>
      <c r="C48" s="50">
        <f t="shared" si="52"/>
        <v>333</v>
      </c>
      <c r="D48" s="93">
        <f t="shared" si="52"/>
        <v>0.5</v>
      </c>
      <c r="E48" s="50">
        <f t="shared" si="52"/>
        <v>61.861102779027135</v>
      </c>
      <c r="F48" s="87">
        <f t="shared" ref="F48:G48" si="53">ROUND(F10,-3)</f>
        <v>125000</v>
      </c>
      <c r="G48" s="123">
        <f t="shared" si="53"/>
        <v>73000</v>
      </c>
      <c r="H48" s="130">
        <f t="shared" ref="H48:J48" si="54">H10</f>
        <v>6.5636254328475241</v>
      </c>
      <c r="I48" s="50">
        <f t="shared" si="54"/>
        <v>32.052384859599556</v>
      </c>
      <c r="J48" s="67">
        <f t="shared" si="54"/>
        <v>333</v>
      </c>
      <c r="K48" s="87">
        <f t="shared" ref="K48:L48" si="55">ROUND(K10,-3)</f>
        <v>70000</v>
      </c>
      <c r="L48" s="123">
        <f t="shared" si="55"/>
        <v>41000</v>
      </c>
      <c r="M48" s="130">
        <f t="shared" ref="M48:P48" si="56">M10</f>
        <v>12.149739716675199</v>
      </c>
      <c r="N48" s="50">
        <f t="shared" si="56"/>
        <v>333</v>
      </c>
      <c r="O48" s="108">
        <f t="shared" si="56"/>
        <v>0.5</v>
      </c>
      <c r="P48" s="50">
        <f t="shared" si="56"/>
        <v>618.61102779027135</v>
      </c>
      <c r="Q48" s="87">
        <f t="shared" ref="Q48:R48" si="57">ROUND(Q10,-3)</f>
        <v>1251000</v>
      </c>
      <c r="R48" s="123">
        <f t="shared" si="57"/>
        <v>728000</v>
      </c>
      <c r="S48" s="130">
        <f t="shared" ref="S48:U48" si="58">S10</f>
        <v>0.57098024197734365</v>
      </c>
      <c r="T48" s="50">
        <f t="shared" si="58"/>
        <v>320.52384859599556</v>
      </c>
      <c r="U48" s="50">
        <f t="shared" si="58"/>
        <v>333</v>
      </c>
      <c r="V48" s="87">
        <f t="shared" ref="V48:Y48" si="59">ROUND(V10,-3)</f>
        <v>61000</v>
      </c>
      <c r="W48" s="123">
        <f t="shared" si="59"/>
        <v>35000</v>
      </c>
      <c r="X48" s="139">
        <f t="shared" si="59"/>
        <v>1508000</v>
      </c>
      <c r="Y48" s="57">
        <f t="shared" si="59"/>
        <v>877000</v>
      </c>
    </row>
    <row r="49" spans="1:25" x14ac:dyDescent="0.25">
      <c r="A49" s="127">
        <v>2025</v>
      </c>
      <c r="B49" s="130">
        <f t="shared" ref="B49:E49" si="60">B11</f>
        <v>12.149739716675199</v>
      </c>
      <c r="C49" s="50">
        <f t="shared" si="60"/>
        <v>333</v>
      </c>
      <c r="D49" s="93">
        <f t="shared" si="60"/>
        <v>0.5</v>
      </c>
      <c r="E49" s="50">
        <f t="shared" si="60"/>
        <v>62.553969766329118</v>
      </c>
      <c r="F49" s="87">
        <f t="shared" ref="F49:G49" si="61">ROUND(F11,-3)</f>
        <v>127000</v>
      </c>
      <c r="G49" s="123">
        <f t="shared" si="61"/>
        <v>69000</v>
      </c>
      <c r="H49" s="130">
        <f t="shared" ref="H49:J49" si="62">H11</f>
        <v>6.5636254328475241</v>
      </c>
      <c r="I49" s="50">
        <f t="shared" si="62"/>
        <v>32.411383298616116</v>
      </c>
      <c r="J49" s="67">
        <f t="shared" si="62"/>
        <v>333</v>
      </c>
      <c r="K49" s="87">
        <f t="shared" ref="K49:L49" si="63">ROUND(K11,-3)</f>
        <v>71000</v>
      </c>
      <c r="L49" s="123">
        <f t="shared" si="63"/>
        <v>39000</v>
      </c>
      <c r="M49" s="130">
        <f t="shared" ref="M49:P49" si="64">M11</f>
        <v>12.149739716675199</v>
      </c>
      <c r="N49" s="50">
        <f t="shared" si="64"/>
        <v>333</v>
      </c>
      <c r="O49" s="108">
        <f t="shared" si="64"/>
        <v>0.5</v>
      </c>
      <c r="P49" s="50">
        <f t="shared" si="64"/>
        <v>625.53969766329124</v>
      </c>
      <c r="Q49" s="87">
        <f t="shared" ref="Q49:R49" si="65">ROUND(Q11,-3)</f>
        <v>1265000</v>
      </c>
      <c r="R49" s="123">
        <f t="shared" si="65"/>
        <v>688000</v>
      </c>
      <c r="S49" s="130">
        <f t="shared" ref="S49:U49" si="66">S11</f>
        <v>0.57098024197734365</v>
      </c>
      <c r="T49" s="50">
        <f t="shared" si="66"/>
        <v>324.11383298616113</v>
      </c>
      <c r="U49" s="50">
        <f t="shared" si="66"/>
        <v>333</v>
      </c>
      <c r="V49" s="87">
        <f t="shared" ref="V49:Y49" si="67">ROUND(V11,-3)</f>
        <v>62000</v>
      </c>
      <c r="W49" s="123">
        <f t="shared" si="67"/>
        <v>34000</v>
      </c>
      <c r="X49" s="139">
        <f t="shared" si="67"/>
        <v>1524000</v>
      </c>
      <c r="Y49" s="57">
        <f t="shared" si="67"/>
        <v>829000</v>
      </c>
    </row>
    <row r="50" spans="1:25" x14ac:dyDescent="0.25">
      <c r="A50" s="127">
        <v>2026</v>
      </c>
      <c r="B50" s="130">
        <f t="shared" ref="B50:E50" si="68">B12</f>
        <v>12.149739716675199</v>
      </c>
      <c r="C50" s="50">
        <f t="shared" si="68"/>
        <v>333</v>
      </c>
      <c r="D50" s="93">
        <f t="shared" si="68"/>
        <v>0.5</v>
      </c>
      <c r="E50" s="50">
        <f t="shared" si="68"/>
        <v>63.25459711742235</v>
      </c>
      <c r="F50" s="87">
        <f t="shared" ref="F50:G50" si="69">ROUND(F12,-3)</f>
        <v>128000</v>
      </c>
      <c r="G50" s="123">
        <f t="shared" si="69"/>
        <v>65000</v>
      </c>
      <c r="H50" s="130">
        <f t="shared" ref="H50:J50" si="70">H12</f>
        <v>6.5636254328475241</v>
      </c>
      <c r="I50" s="50">
        <f t="shared" si="70"/>
        <v>32.774402651514166</v>
      </c>
      <c r="J50" s="67">
        <f t="shared" si="70"/>
        <v>333</v>
      </c>
      <c r="K50" s="87">
        <f t="shared" ref="K50:L50" si="71">ROUND(K12,-3)</f>
        <v>72000</v>
      </c>
      <c r="L50" s="123">
        <f t="shared" si="71"/>
        <v>36000</v>
      </c>
      <c r="M50" s="130">
        <f t="shared" ref="M50:P50" si="72">M12</f>
        <v>12.149739716675199</v>
      </c>
      <c r="N50" s="50">
        <f t="shared" si="72"/>
        <v>333</v>
      </c>
      <c r="O50" s="108">
        <f t="shared" si="72"/>
        <v>0.5</v>
      </c>
      <c r="P50" s="50">
        <f t="shared" si="72"/>
        <v>632.5459711742235</v>
      </c>
      <c r="Q50" s="87">
        <f t="shared" ref="Q50:R50" si="73">ROUND(Q12,-3)</f>
        <v>1280000</v>
      </c>
      <c r="R50" s="123">
        <f t="shared" si="73"/>
        <v>650000</v>
      </c>
      <c r="S50" s="130">
        <f t="shared" ref="S50:U50" si="74">S12</f>
        <v>0.57098024197734365</v>
      </c>
      <c r="T50" s="50">
        <f t="shared" si="74"/>
        <v>327.74402651514163</v>
      </c>
      <c r="U50" s="50">
        <f t="shared" si="74"/>
        <v>333</v>
      </c>
      <c r="V50" s="87">
        <f t="shared" ref="V50:Y50" si="75">ROUND(V12,-3)</f>
        <v>62000</v>
      </c>
      <c r="W50" s="123">
        <f t="shared" si="75"/>
        <v>32000</v>
      </c>
      <c r="X50" s="139">
        <f t="shared" si="75"/>
        <v>1542000</v>
      </c>
      <c r="Y50" s="57">
        <f t="shared" si="75"/>
        <v>784000</v>
      </c>
    </row>
    <row r="51" spans="1:25" x14ac:dyDescent="0.25">
      <c r="A51" s="127">
        <v>2027</v>
      </c>
      <c r="B51" s="130">
        <f t="shared" ref="B51:E51" si="76">B13</f>
        <v>12.149739716675199</v>
      </c>
      <c r="C51" s="50">
        <f t="shared" si="76"/>
        <v>333</v>
      </c>
      <c r="D51" s="93">
        <f t="shared" si="76"/>
        <v>0.5</v>
      </c>
      <c r="E51" s="50">
        <f t="shared" si="76"/>
        <v>63.963071751220923</v>
      </c>
      <c r="F51" s="87">
        <f t="shared" ref="F51:G51" si="77">ROUND(F13,-3)</f>
        <v>129000</v>
      </c>
      <c r="G51" s="123">
        <f t="shared" si="77"/>
        <v>61000</v>
      </c>
      <c r="H51" s="130">
        <f t="shared" ref="H51:J51" si="78">H13</f>
        <v>6.5636254328475241</v>
      </c>
      <c r="I51" s="50">
        <f t="shared" si="78"/>
        <v>33.141487954000482</v>
      </c>
      <c r="J51" s="67">
        <f t="shared" si="78"/>
        <v>333</v>
      </c>
      <c r="K51" s="87">
        <f t="shared" ref="K51:L51" si="79">ROUND(K13,-3)</f>
        <v>72000</v>
      </c>
      <c r="L51" s="123">
        <f t="shared" si="79"/>
        <v>34000</v>
      </c>
      <c r="M51" s="130">
        <f t="shared" ref="M51:P51" si="80">M13</f>
        <v>12.149739716675199</v>
      </c>
      <c r="N51" s="50">
        <f t="shared" si="80"/>
        <v>333</v>
      </c>
      <c r="O51" s="108">
        <f t="shared" si="80"/>
        <v>0.5</v>
      </c>
      <c r="P51" s="50">
        <f t="shared" si="80"/>
        <v>639.63071751220923</v>
      </c>
      <c r="Q51" s="87">
        <f t="shared" ref="Q51:R51" si="81">ROUND(Q13,-3)</f>
        <v>1294000</v>
      </c>
      <c r="R51" s="123">
        <f t="shared" si="81"/>
        <v>615000</v>
      </c>
      <c r="S51" s="130">
        <f t="shared" ref="S51:U51" si="82">S13</f>
        <v>0.57098024197734365</v>
      </c>
      <c r="T51" s="50">
        <f t="shared" si="82"/>
        <v>331.41487954000479</v>
      </c>
      <c r="U51" s="50">
        <f t="shared" si="82"/>
        <v>333</v>
      </c>
      <c r="V51" s="87">
        <f t="shared" ref="V51:Y51" si="83">ROUND(V13,-3)</f>
        <v>63000</v>
      </c>
      <c r="W51" s="123">
        <f t="shared" si="83"/>
        <v>30000</v>
      </c>
      <c r="X51" s="139">
        <f t="shared" si="83"/>
        <v>1559000</v>
      </c>
      <c r="Y51" s="57">
        <f t="shared" si="83"/>
        <v>741000</v>
      </c>
    </row>
    <row r="52" spans="1:25" x14ac:dyDescent="0.25">
      <c r="A52" s="127">
        <v>2028</v>
      </c>
      <c r="B52" s="130">
        <f t="shared" ref="B52:E52" si="84">B14</f>
        <v>12.149739716675199</v>
      </c>
      <c r="C52" s="50">
        <f t="shared" si="84"/>
        <v>333</v>
      </c>
      <c r="D52" s="93">
        <f t="shared" si="84"/>
        <v>0.5</v>
      </c>
      <c r="E52" s="50">
        <f t="shared" si="84"/>
        <v>64.679481560162685</v>
      </c>
      <c r="F52" s="87">
        <f t="shared" ref="F52:G52" si="85">ROUND(F14,-3)</f>
        <v>131000</v>
      </c>
      <c r="G52" s="123">
        <f t="shared" si="85"/>
        <v>58000</v>
      </c>
      <c r="H52" s="130">
        <f t="shared" ref="H52:J52" si="86">H14</f>
        <v>6.5636254328475241</v>
      </c>
      <c r="I52" s="50">
        <f t="shared" si="86"/>
        <v>33.512684746198275</v>
      </c>
      <c r="J52" s="67">
        <f t="shared" si="86"/>
        <v>333</v>
      </c>
      <c r="K52" s="87">
        <f t="shared" ref="K52:L52" si="87">ROUND(K14,-3)</f>
        <v>73000</v>
      </c>
      <c r="L52" s="123">
        <f t="shared" si="87"/>
        <v>33000</v>
      </c>
      <c r="M52" s="130">
        <f t="shared" ref="M52:P52" si="88">M14</f>
        <v>12.149739716675199</v>
      </c>
      <c r="N52" s="50">
        <f t="shared" si="88"/>
        <v>333</v>
      </c>
      <c r="O52" s="108">
        <f t="shared" si="88"/>
        <v>0.5</v>
      </c>
      <c r="P52" s="50">
        <f t="shared" si="88"/>
        <v>646.79481560162685</v>
      </c>
      <c r="Q52" s="87">
        <f t="shared" ref="Q52:R52" si="89">ROUND(Q14,-3)</f>
        <v>1308000</v>
      </c>
      <c r="R52" s="123">
        <f t="shared" si="89"/>
        <v>581000</v>
      </c>
      <c r="S52" s="130">
        <f t="shared" ref="S52:U52" si="90">S14</f>
        <v>0.57098024197734365</v>
      </c>
      <c r="T52" s="50">
        <f t="shared" si="90"/>
        <v>335.12684746198272</v>
      </c>
      <c r="U52" s="50">
        <f t="shared" si="90"/>
        <v>333</v>
      </c>
      <c r="V52" s="87">
        <f t="shared" ref="V52:Y52" si="91">ROUND(V14,-3)</f>
        <v>64000</v>
      </c>
      <c r="W52" s="123">
        <f t="shared" si="91"/>
        <v>28000</v>
      </c>
      <c r="X52" s="139">
        <f t="shared" si="91"/>
        <v>1576000</v>
      </c>
      <c r="Y52" s="57">
        <f t="shared" si="91"/>
        <v>700000</v>
      </c>
    </row>
    <row r="53" spans="1:25" x14ac:dyDescent="0.25">
      <c r="A53" s="127">
        <v>2029</v>
      </c>
      <c r="B53" s="130">
        <f t="shared" ref="B53:E53" si="92">B15</f>
        <v>12.149739716675199</v>
      </c>
      <c r="C53" s="50">
        <f t="shared" si="92"/>
        <v>333</v>
      </c>
      <c r="D53" s="93">
        <f t="shared" si="92"/>
        <v>0.5</v>
      </c>
      <c r="E53" s="50">
        <f t="shared" si="92"/>
        <v>65.403915421112828</v>
      </c>
      <c r="F53" s="87">
        <f t="shared" ref="F53:G53" si="93">ROUND(F15,-3)</f>
        <v>132000</v>
      </c>
      <c r="G53" s="123">
        <f t="shared" si="93"/>
        <v>55000</v>
      </c>
      <c r="H53" s="130">
        <f t="shared" ref="H53:J53" si="94">H15</f>
        <v>6.5636254328475241</v>
      </c>
      <c r="I53" s="50">
        <f t="shared" si="94"/>
        <v>33.888039078296799</v>
      </c>
      <c r="J53" s="67">
        <f t="shared" si="94"/>
        <v>333</v>
      </c>
      <c r="K53" s="87">
        <f t="shared" ref="K53:L53" si="95">ROUND(K15,-3)</f>
        <v>74000</v>
      </c>
      <c r="L53" s="123">
        <f t="shared" si="95"/>
        <v>31000</v>
      </c>
      <c r="M53" s="130">
        <f t="shared" ref="M53:P53" si="96">M15</f>
        <v>12.149739716675199</v>
      </c>
      <c r="N53" s="50">
        <f t="shared" si="96"/>
        <v>333</v>
      </c>
      <c r="O53" s="108">
        <f t="shared" si="96"/>
        <v>0.5</v>
      </c>
      <c r="P53" s="50">
        <f t="shared" si="96"/>
        <v>654.03915421112833</v>
      </c>
      <c r="Q53" s="87">
        <f t="shared" ref="Q53:R53" si="97">ROUND(Q15,-3)</f>
        <v>1323000</v>
      </c>
      <c r="R53" s="123">
        <f t="shared" si="97"/>
        <v>549000</v>
      </c>
      <c r="S53" s="130">
        <f t="shared" ref="S53:U53" si="98">S15</f>
        <v>0.57098024197734365</v>
      </c>
      <c r="T53" s="50">
        <f t="shared" si="98"/>
        <v>338.88039078296799</v>
      </c>
      <c r="U53" s="50">
        <f t="shared" si="98"/>
        <v>333</v>
      </c>
      <c r="V53" s="87">
        <f t="shared" ref="V53:Y53" si="99">ROUND(V15,-3)</f>
        <v>64000</v>
      </c>
      <c r="W53" s="123">
        <f t="shared" si="99"/>
        <v>27000</v>
      </c>
      <c r="X53" s="139">
        <f t="shared" si="99"/>
        <v>1594000</v>
      </c>
      <c r="Y53" s="57">
        <f t="shared" si="99"/>
        <v>661000</v>
      </c>
    </row>
    <row r="54" spans="1:25" x14ac:dyDescent="0.25">
      <c r="A54" s="127">
        <v>2030</v>
      </c>
      <c r="B54" s="130">
        <f t="shared" ref="B54:E54" si="100">B16</f>
        <v>12.149739716675199</v>
      </c>
      <c r="C54" s="50">
        <f t="shared" si="100"/>
        <v>333</v>
      </c>
      <c r="D54" s="93">
        <f t="shared" si="100"/>
        <v>0.5</v>
      </c>
      <c r="E54" s="50">
        <f t="shared" si="100"/>
        <v>66.136463206389976</v>
      </c>
      <c r="F54" s="87">
        <f t="shared" ref="F54:G54" si="101">ROUND(F16,-3)</f>
        <v>134000</v>
      </c>
      <c r="G54" s="123">
        <f t="shared" si="101"/>
        <v>52000</v>
      </c>
      <c r="H54" s="130">
        <f t="shared" ref="H54:J54" si="102">H16</f>
        <v>6.5636254328475241</v>
      </c>
      <c r="I54" s="50">
        <f t="shared" si="102"/>
        <v>34.267597516264232</v>
      </c>
      <c r="J54" s="67">
        <f t="shared" si="102"/>
        <v>333</v>
      </c>
      <c r="K54" s="87">
        <f t="shared" ref="K54:L54" si="103">ROUND(K16,-3)</f>
        <v>75000</v>
      </c>
      <c r="L54" s="123">
        <f t="shared" si="103"/>
        <v>29000</v>
      </c>
      <c r="M54" s="130">
        <f t="shared" ref="M54:P54" si="104">M16</f>
        <v>12.149739716675199</v>
      </c>
      <c r="N54" s="50">
        <f t="shared" si="104"/>
        <v>333</v>
      </c>
      <c r="O54" s="108">
        <f t="shared" si="104"/>
        <v>0.5</v>
      </c>
      <c r="P54" s="50">
        <f t="shared" si="104"/>
        <v>661.36463206389976</v>
      </c>
      <c r="Q54" s="87">
        <f t="shared" ref="Q54:R54" si="105">ROUND(Q16,-3)</f>
        <v>1338000</v>
      </c>
      <c r="R54" s="123">
        <f t="shared" si="105"/>
        <v>519000</v>
      </c>
      <c r="S54" s="130">
        <f t="shared" ref="S54:U54" si="106">S16</f>
        <v>0.57098024197734365</v>
      </c>
      <c r="T54" s="50">
        <f t="shared" si="106"/>
        <v>342.67597516264232</v>
      </c>
      <c r="U54" s="50">
        <f t="shared" si="106"/>
        <v>333</v>
      </c>
      <c r="V54" s="87">
        <f t="shared" ref="V54:Y54" si="107">ROUND(V16,-3)</f>
        <v>65000</v>
      </c>
      <c r="W54" s="123">
        <f t="shared" si="107"/>
        <v>25000</v>
      </c>
      <c r="X54" s="139">
        <f t="shared" si="107"/>
        <v>1612000</v>
      </c>
      <c r="Y54" s="57">
        <f t="shared" si="107"/>
        <v>625000</v>
      </c>
    </row>
    <row r="55" spans="1:25" x14ac:dyDescent="0.25">
      <c r="A55" s="127">
        <v>2031</v>
      </c>
      <c r="B55" s="130">
        <f t="shared" ref="B55:E55" si="108">B17</f>
        <v>12.149739716675199</v>
      </c>
      <c r="C55" s="50">
        <f t="shared" si="108"/>
        <v>333</v>
      </c>
      <c r="D55" s="93">
        <f t="shared" si="108"/>
        <v>0.5</v>
      </c>
      <c r="E55" s="50">
        <f t="shared" si="108"/>
        <v>66.877215794915685</v>
      </c>
      <c r="F55" s="87">
        <f t="shared" ref="F55:G55" si="109">ROUND(F17,-3)</f>
        <v>135000</v>
      </c>
      <c r="G55" s="123">
        <f t="shared" si="109"/>
        <v>49000</v>
      </c>
      <c r="H55" s="130">
        <f t="shared" ref="H55:J55" si="110">H17</f>
        <v>6.5636254328475241</v>
      </c>
      <c r="I55" s="50">
        <f t="shared" si="110"/>
        <v>34.65140714762471</v>
      </c>
      <c r="J55" s="67">
        <f t="shared" si="110"/>
        <v>333</v>
      </c>
      <c r="K55" s="87">
        <f t="shared" ref="K55:L55" si="111">ROUND(K17,-3)</f>
        <v>76000</v>
      </c>
      <c r="L55" s="123">
        <f t="shared" si="111"/>
        <v>27000</v>
      </c>
      <c r="M55" s="130">
        <f t="shared" ref="M55:P55" si="112">M17</f>
        <v>12.149739716675199</v>
      </c>
      <c r="N55" s="50">
        <f t="shared" si="112"/>
        <v>333</v>
      </c>
      <c r="O55" s="108">
        <f t="shared" si="112"/>
        <v>0.5</v>
      </c>
      <c r="P55" s="50">
        <f t="shared" si="112"/>
        <v>668.77215794915685</v>
      </c>
      <c r="Q55" s="87">
        <f t="shared" ref="Q55:R55" si="113">ROUND(Q17,-3)</f>
        <v>1353000</v>
      </c>
      <c r="R55" s="123">
        <f t="shared" si="113"/>
        <v>490000</v>
      </c>
      <c r="S55" s="130">
        <f t="shared" ref="S55:U55" si="114">S17</f>
        <v>0.57098024197734365</v>
      </c>
      <c r="T55" s="50">
        <f t="shared" si="114"/>
        <v>346.51407147624707</v>
      </c>
      <c r="U55" s="50">
        <f t="shared" si="114"/>
        <v>333</v>
      </c>
      <c r="V55" s="87">
        <f t="shared" ref="V55:Y55" si="115">ROUND(V17,-3)</f>
        <v>66000</v>
      </c>
      <c r="W55" s="123">
        <f t="shared" si="115"/>
        <v>24000</v>
      </c>
      <c r="X55" s="139">
        <f t="shared" si="115"/>
        <v>1630000</v>
      </c>
      <c r="Y55" s="57">
        <f t="shared" si="115"/>
        <v>591000</v>
      </c>
    </row>
    <row r="56" spans="1:25" x14ac:dyDescent="0.25">
      <c r="A56" s="127">
        <v>2032</v>
      </c>
      <c r="B56" s="130">
        <f t="shared" ref="B56:E56" si="116">B18</f>
        <v>12.149739716675199</v>
      </c>
      <c r="C56" s="50">
        <f t="shared" si="116"/>
        <v>333</v>
      </c>
      <c r="D56" s="93">
        <f t="shared" si="116"/>
        <v>0.5</v>
      </c>
      <c r="E56" s="50">
        <f t="shared" si="116"/>
        <v>67.626265083488619</v>
      </c>
      <c r="F56" s="87">
        <f t="shared" ref="F56:G56" si="117">ROUND(F18,-3)</f>
        <v>137000</v>
      </c>
      <c r="G56" s="123">
        <f t="shared" si="117"/>
        <v>46000</v>
      </c>
      <c r="H56" s="130">
        <f t="shared" ref="H56:J56" si="118">H18</f>
        <v>6.5636254328475241</v>
      </c>
      <c r="I56" s="50">
        <f t="shared" si="118"/>
        <v>35.039515587299803</v>
      </c>
      <c r="J56" s="67">
        <f t="shared" si="118"/>
        <v>333</v>
      </c>
      <c r="K56" s="87">
        <f t="shared" ref="K56:L56" si="119">ROUND(K18,-3)</f>
        <v>77000</v>
      </c>
      <c r="L56" s="123">
        <f t="shared" si="119"/>
        <v>26000</v>
      </c>
      <c r="M56" s="130">
        <f t="shared" ref="M56:P56" si="120">M18</f>
        <v>12.149739716675199</v>
      </c>
      <c r="N56" s="50">
        <f t="shared" si="120"/>
        <v>333</v>
      </c>
      <c r="O56" s="108">
        <f t="shared" si="120"/>
        <v>0.5</v>
      </c>
      <c r="P56" s="50">
        <f t="shared" si="120"/>
        <v>676.26265083488624</v>
      </c>
      <c r="Q56" s="87">
        <f t="shared" ref="Q56:R56" si="121">ROUND(Q18,-3)</f>
        <v>1368000</v>
      </c>
      <c r="R56" s="123">
        <f t="shared" si="121"/>
        <v>463000</v>
      </c>
      <c r="S56" s="130">
        <f t="shared" ref="S56:U56" si="122">S18</f>
        <v>0.57098024197734365</v>
      </c>
      <c r="T56" s="50">
        <f t="shared" si="122"/>
        <v>350.39515587299803</v>
      </c>
      <c r="U56" s="50">
        <f t="shared" si="122"/>
        <v>333</v>
      </c>
      <c r="V56" s="87">
        <f t="shared" ref="V56:Y56" si="123">ROUND(V18,-3)</f>
        <v>67000</v>
      </c>
      <c r="W56" s="123">
        <f t="shared" si="123"/>
        <v>23000</v>
      </c>
      <c r="X56" s="139">
        <f t="shared" si="123"/>
        <v>1648000</v>
      </c>
      <c r="Y56" s="57">
        <f t="shared" si="123"/>
        <v>558000</v>
      </c>
    </row>
    <row r="57" spans="1:25" x14ac:dyDescent="0.25">
      <c r="A57" s="127">
        <v>2033</v>
      </c>
      <c r="B57" s="130">
        <f t="shared" ref="B57:E57" si="124">B19</f>
        <v>12.149739716675199</v>
      </c>
      <c r="C57" s="50">
        <f t="shared" si="124"/>
        <v>333</v>
      </c>
      <c r="D57" s="93">
        <f t="shared" si="124"/>
        <v>0.5</v>
      </c>
      <c r="E57" s="50">
        <f t="shared" si="124"/>
        <v>68.38370399818524</v>
      </c>
      <c r="F57" s="87">
        <f t="shared" ref="F57:G57" si="125">ROUND(F19,-3)</f>
        <v>138000</v>
      </c>
      <c r="G57" s="123">
        <f t="shared" si="125"/>
        <v>44000</v>
      </c>
      <c r="H57" s="130">
        <f t="shared" ref="H57:J57" si="126">H19</f>
        <v>6.5636254328475241</v>
      </c>
      <c r="I57" s="50">
        <f t="shared" si="126"/>
        <v>35.431970983515654</v>
      </c>
      <c r="J57" s="67">
        <f t="shared" si="126"/>
        <v>333</v>
      </c>
      <c r="K57" s="87">
        <f t="shared" ref="K57:L57" si="127">ROUND(K19,-3)</f>
        <v>77000</v>
      </c>
      <c r="L57" s="123">
        <f t="shared" si="127"/>
        <v>25000</v>
      </c>
      <c r="M57" s="130">
        <f t="shared" ref="M57:P57" si="128">M19</f>
        <v>12.149739716675199</v>
      </c>
      <c r="N57" s="50">
        <f t="shared" si="128"/>
        <v>333</v>
      </c>
      <c r="O57" s="108">
        <f t="shared" si="128"/>
        <v>0.5</v>
      </c>
      <c r="P57" s="50">
        <f t="shared" si="128"/>
        <v>683.8370399818524</v>
      </c>
      <c r="Q57" s="87">
        <f t="shared" ref="Q57:R57" si="129">ROUND(Q19,-3)</f>
        <v>1383000</v>
      </c>
      <c r="R57" s="123">
        <f t="shared" si="129"/>
        <v>438000</v>
      </c>
      <c r="S57" s="130">
        <f t="shared" ref="S57:U57" si="130">S19</f>
        <v>0.57098024197734365</v>
      </c>
      <c r="T57" s="50">
        <f t="shared" si="130"/>
        <v>354.31970983515657</v>
      </c>
      <c r="U57" s="50">
        <f t="shared" si="130"/>
        <v>333</v>
      </c>
      <c r="V57" s="87">
        <f t="shared" ref="V57:Y57" si="131">ROUND(V19,-3)</f>
        <v>67000</v>
      </c>
      <c r="W57" s="123">
        <f t="shared" si="131"/>
        <v>21000</v>
      </c>
      <c r="X57" s="139">
        <f t="shared" si="131"/>
        <v>1667000</v>
      </c>
      <c r="Y57" s="57">
        <f t="shared" si="131"/>
        <v>528000</v>
      </c>
    </row>
    <row r="58" spans="1:25" x14ac:dyDescent="0.25">
      <c r="A58" s="127">
        <v>2034</v>
      </c>
      <c r="B58" s="130">
        <f t="shared" ref="B58:E58" si="132">B20</f>
        <v>12.149739716675199</v>
      </c>
      <c r="C58" s="50">
        <f t="shared" si="132"/>
        <v>333</v>
      </c>
      <c r="D58" s="93">
        <f t="shared" si="132"/>
        <v>0.5</v>
      </c>
      <c r="E58" s="50">
        <f t="shared" si="132"/>
        <v>69.149626505888051</v>
      </c>
      <c r="F58" s="87">
        <f t="shared" ref="F58:G58" si="133">ROUND(F20,-3)</f>
        <v>140000</v>
      </c>
      <c r="G58" s="123">
        <f t="shared" si="133"/>
        <v>41000</v>
      </c>
      <c r="H58" s="130">
        <f t="shared" ref="H58:J58" si="134">H20</f>
        <v>6.5636254328475241</v>
      </c>
      <c r="I58" s="50">
        <f t="shared" si="134"/>
        <v>35.828822023776183</v>
      </c>
      <c r="J58" s="67">
        <f t="shared" si="134"/>
        <v>333</v>
      </c>
      <c r="K58" s="87">
        <f t="shared" ref="K58:L58" si="135">ROUND(K20,-3)</f>
        <v>78000</v>
      </c>
      <c r="L58" s="123">
        <f t="shared" si="135"/>
        <v>23000</v>
      </c>
      <c r="M58" s="130">
        <f t="shared" ref="M58:P58" si="136">M20</f>
        <v>12.149739716675199</v>
      </c>
      <c r="N58" s="50">
        <f t="shared" si="136"/>
        <v>333</v>
      </c>
      <c r="O58" s="108">
        <f t="shared" si="136"/>
        <v>0.5</v>
      </c>
      <c r="P58" s="50">
        <f t="shared" si="136"/>
        <v>691.49626505888045</v>
      </c>
      <c r="Q58" s="87">
        <f t="shared" ref="Q58:R58" si="137">ROUND(Q20,-3)</f>
        <v>1399000</v>
      </c>
      <c r="R58" s="123">
        <f t="shared" si="137"/>
        <v>414000</v>
      </c>
      <c r="S58" s="130">
        <f t="shared" ref="S58:U58" si="138">S20</f>
        <v>0.57098024197734365</v>
      </c>
      <c r="T58" s="50">
        <f t="shared" si="138"/>
        <v>358.28822023776183</v>
      </c>
      <c r="U58" s="50">
        <f t="shared" si="138"/>
        <v>333</v>
      </c>
      <c r="V58" s="87">
        <f t="shared" ref="V58:Y58" si="139">ROUND(V20,-3)</f>
        <v>68000</v>
      </c>
      <c r="W58" s="123">
        <f t="shared" si="139"/>
        <v>20000</v>
      </c>
      <c r="X58" s="139">
        <f t="shared" si="139"/>
        <v>1685000</v>
      </c>
      <c r="Y58" s="57">
        <f t="shared" si="139"/>
        <v>499000</v>
      </c>
    </row>
    <row r="59" spans="1:25" x14ac:dyDescent="0.25">
      <c r="A59" s="127">
        <v>2035</v>
      </c>
      <c r="B59" s="130">
        <f t="shared" ref="B59:E59" si="140">B21</f>
        <v>12.149739716675199</v>
      </c>
      <c r="C59" s="50">
        <f t="shared" si="140"/>
        <v>333</v>
      </c>
      <c r="D59" s="93">
        <f t="shared" si="140"/>
        <v>0.5</v>
      </c>
      <c r="E59" s="50">
        <f t="shared" si="140"/>
        <v>69.924127625942958</v>
      </c>
      <c r="F59" s="87">
        <f t="shared" ref="F59:G59" si="141">ROUND(F21,-3)</f>
        <v>141000</v>
      </c>
      <c r="G59" s="123">
        <f t="shared" si="141"/>
        <v>39000</v>
      </c>
      <c r="H59" s="130">
        <f t="shared" ref="H59:J59" si="142">H21</f>
        <v>6.5636254328475241</v>
      </c>
      <c r="I59" s="50">
        <f t="shared" si="142"/>
        <v>36.230117940903085</v>
      </c>
      <c r="J59" s="67">
        <f t="shared" si="142"/>
        <v>333</v>
      </c>
      <c r="K59" s="87">
        <f t="shared" ref="K59:L59" si="143">ROUND(K21,-3)</f>
        <v>79000</v>
      </c>
      <c r="L59" s="123">
        <f t="shared" si="143"/>
        <v>22000</v>
      </c>
      <c r="M59" s="130">
        <f t="shared" ref="M59:P59" si="144">M21</f>
        <v>12.149739716675199</v>
      </c>
      <c r="N59" s="50">
        <f t="shared" si="144"/>
        <v>333</v>
      </c>
      <c r="O59" s="108">
        <f t="shared" si="144"/>
        <v>0.5</v>
      </c>
      <c r="P59" s="50">
        <f t="shared" si="144"/>
        <v>699.24127625942958</v>
      </c>
      <c r="Q59" s="87">
        <f t="shared" ref="Q59:R59" si="145">ROUND(Q21,-3)</f>
        <v>1415000</v>
      </c>
      <c r="R59" s="123">
        <f t="shared" si="145"/>
        <v>391000</v>
      </c>
      <c r="S59" s="130">
        <f t="shared" ref="S59:U59" si="146">S21</f>
        <v>0.57098024197734365</v>
      </c>
      <c r="T59" s="50">
        <f t="shared" si="146"/>
        <v>362.30117940903085</v>
      </c>
      <c r="U59" s="50">
        <f t="shared" si="146"/>
        <v>333</v>
      </c>
      <c r="V59" s="87">
        <f t="shared" ref="V59:Y59" si="147">ROUND(V21,-3)</f>
        <v>69000</v>
      </c>
      <c r="W59" s="123">
        <f t="shared" si="147"/>
        <v>19000</v>
      </c>
      <c r="X59" s="139">
        <f t="shared" si="147"/>
        <v>1704000</v>
      </c>
      <c r="Y59" s="57">
        <f t="shared" si="147"/>
        <v>471000</v>
      </c>
    </row>
    <row r="60" spans="1:25" x14ac:dyDescent="0.25">
      <c r="A60" s="127">
        <v>2036</v>
      </c>
      <c r="B60" s="130">
        <f t="shared" ref="B60:E60" si="148">B22</f>
        <v>12.149739716675199</v>
      </c>
      <c r="C60" s="50">
        <f t="shared" si="148"/>
        <v>333</v>
      </c>
      <c r="D60" s="93">
        <f t="shared" si="148"/>
        <v>0.5</v>
      </c>
      <c r="E60" s="50">
        <f t="shared" si="148"/>
        <v>70.707303441947516</v>
      </c>
      <c r="F60" s="87">
        <f t="shared" ref="F60:G60" si="149">ROUND(F22,-3)</f>
        <v>143000</v>
      </c>
      <c r="G60" s="123">
        <f t="shared" si="149"/>
        <v>37000</v>
      </c>
      <c r="H60" s="130">
        <f t="shared" ref="H60:J60" si="150">H22</f>
        <v>6.5636254328475241</v>
      </c>
      <c r="I60" s="50">
        <f t="shared" si="150"/>
        <v>36.635908519143783</v>
      </c>
      <c r="J60" s="67">
        <f t="shared" si="150"/>
        <v>333</v>
      </c>
      <c r="K60" s="87">
        <f t="shared" ref="K60:L60" si="151">ROUND(K22,-3)</f>
        <v>80000</v>
      </c>
      <c r="L60" s="123">
        <f t="shared" si="151"/>
        <v>21000</v>
      </c>
      <c r="M60" s="130">
        <f t="shared" ref="M60:P60" si="152">M22</f>
        <v>12.149739716675199</v>
      </c>
      <c r="N60" s="50">
        <f t="shared" si="152"/>
        <v>333</v>
      </c>
      <c r="O60" s="108">
        <f t="shared" si="152"/>
        <v>0.5</v>
      </c>
      <c r="P60" s="50">
        <f t="shared" si="152"/>
        <v>707.07303441947511</v>
      </c>
      <c r="Q60" s="87">
        <f t="shared" ref="Q60:R60" si="153">ROUND(Q22,-3)</f>
        <v>1430000</v>
      </c>
      <c r="R60" s="123">
        <f t="shared" si="153"/>
        <v>370000</v>
      </c>
      <c r="S60" s="130">
        <f t="shared" ref="S60:U60" si="154">S22</f>
        <v>0.57098024197734365</v>
      </c>
      <c r="T60" s="50">
        <f t="shared" si="154"/>
        <v>366.35908519143783</v>
      </c>
      <c r="U60" s="50">
        <f t="shared" si="154"/>
        <v>333</v>
      </c>
      <c r="V60" s="87">
        <f t="shared" ref="V60:Y60" si="155">ROUND(V22,-3)</f>
        <v>70000</v>
      </c>
      <c r="W60" s="123">
        <f t="shared" si="155"/>
        <v>18000</v>
      </c>
      <c r="X60" s="139">
        <f t="shared" si="155"/>
        <v>1723000</v>
      </c>
      <c r="Y60" s="57">
        <f t="shared" si="155"/>
        <v>445000</v>
      </c>
    </row>
    <row r="61" spans="1:25" x14ac:dyDescent="0.25">
      <c r="A61" s="127">
        <v>2037</v>
      </c>
      <c r="B61" s="130">
        <f t="shared" ref="B61:E61" si="156">B23</f>
        <v>12.149739716675199</v>
      </c>
      <c r="C61" s="50">
        <f t="shared" si="156"/>
        <v>333</v>
      </c>
      <c r="D61" s="93">
        <f t="shared" si="156"/>
        <v>0.5</v>
      </c>
      <c r="E61" s="50">
        <f t="shared" si="156"/>
        <v>71.499251113670567</v>
      </c>
      <c r="F61" s="87">
        <f t="shared" ref="F61:G61" si="157">ROUND(F23,-3)</f>
        <v>145000</v>
      </c>
      <c r="G61" s="123">
        <f t="shared" si="157"/>
        <v>35000</v>
      </c>
      <c r="H61" s="130">
        <f t="shared" ref="H61:J61" si="158">H23</f>
        <v>6.5636254328475241</v>
      </c>
      <c r="I61" s="50">
        <f t="shared" si="158"/>
        <v>37.046244100347423</v>
      </c>
      <c r="J61" s="67">
        <f t="shared" si="158"/>
        <v>333</v>
      </c>
      <c r="K61" s="87">
        <f t="shared" ref="K61:L61" si="159">ROUND(K23,-3)</f>
        <v>81000</v>
      </c>
      <c r="L61" s="123">
        <f t="shared" si="159"/>
        <v>20000</v>
      </c>
      <c r="M61" s="130">
        <f t="shared" ref="M61:P61" si="160">M23</f>
        <v>12.149739716675199</v>
      </c>
      <c r="N61" s="50">
        <f t="shared" si="160"/>
        <v>333</v>
      </c>
      <c r="O61" s="108">
        <f t="shared" si="160"/>
        <v>0.5</v>
      </c>
      <c r="P61" s="50">
        <f t="shared" si="160"/>
        <v>714.99251113670562</v>
      </c>
      <c r="Q61" s="87">
        <f t="shared" ref="Q61:R61" si="161">ROUND(Q23,-3)</f>
        <v>1446000</v>
      </c>
      <c r="R61" s="123">
        <f t="shared" si="161"/>
        <v>349000</v>
      </c>
      <c r="S61" s="130">
        <f t="shared" ref="S61:U61" si="162">S23</f>
        <v>0.57098024197734365</v>
      </c>
      <c r="T61" s="50">
        <f t="shared" si="162"/>
        <v>370.46244100347423</v>
      </c>
      <c r="U61" s="50">
        <f t="shared" si="162"/>
        <v>333</v>
      </c>
      <c r="V61" s="87">
        <f t="shared" ref="V61:Y61" si="163">ROUND(V23,-3)</f>
        <v>70000</v>
      </c>
      <c r="W61" s="123">
        <f t="shared" si="163"/>
        <v>17000</v>
      </c>
      <c r="X61" s="139">
        <f t="shared" si="163"/>
        <v>1742000</v>
      </c>
      <c r="Y61" s="57">
        <f t="shared" si="163"/>
        <v>421000</v>
      </c>
    </row>
    <row r="62" spans="1:25" x14ac:dyDescent="0.25">
      <c r="A62" s="127">
        <v>2038</v>
      </c>
      <c r="B62" s="130">
        <f t="shared" ref="B62:E62" si="164">B24</f>
        <v>12.149739716675199</v>
      </c>
      <c r="C62" s="50">
        <f t="shared" si="164"/>
        <v>333</v>
      </c>
      <c r="D62" s="93">
        <f t="shared" si="164"/>
        <v>0.5</v>
      </c>
      <c r="E62" s="50">
        <f t="shared" si="164"/>
        <v>72.30006888910583</v>
      </c>
      <c r="F62" s="87">
        <f t="shared" ref="F62:G62" si="165">ROUND(F24,-3)</f>
        <v>146000</v>
      </c>
      <c r="G62" s="123">
        <f t="shared" si="165"/>
        <v>33000</v>
      </c>
      <c r="H62" s="130">
        <f t="shared" ref="H62:J62" si="166">H24</f>
        <v>6.5636254328475241</v>
      </c>
      <c r="I62" s="50">
        <f t="shared" si="166"/>
        <v>37.461175590210274</v>
      </c>
      <c r="J62" s="67">
        <f t="shared" si="166"/>
        <v>333</v>
      </c>
      <c r="K62" s="87">
        <f t="shared" ref="K62:L62" si="167">ROUND(K24,-3)</f>
        <v>82000</v>
      </c>
      <c r="L62" s="123">
        <f t="shared" si="167"/>
        <v>18000</v>
      </c>
      <c r="M62" s="130">
        <f t="shared" ref="M62:P62" si="168">M24</f>
        <v>12.149739716675199</v>
      </c>
      <c r="N62" s="50">
        <f t="shared" si="168"/>
        <v>333</v>
      </c>
      <c r="O62" s="108">
        <f t="shared" si="168"/>
        <v>0.5</v>
      </c>
      <c r="P62" s="50">
        <f t="shared" si="168"/>
        <v>723.0006888910583</v>
      </c>
      <c r="Q62" s="87">
        <f t="shared" ref="Q62:R62" si="169">ROUND(Q24,-3)</f>
        <v>1463000</v>
      </c>
      <c r="R62" s="123">
        <f t="shared" si="169"/>
        <v>330000</v>
      </c>
      <c r="S62" s="130">
        <f t="shared" ref="S62:U62" si="170">S24</f>
        <v>0.57098024197734365</v>
      </c>
      <c r="T62" s="50">
        <f t="shared" si="170"/>
        <v>374.61175590210274</v>
      </c>
      <c r="U62" s="50">
        <f t="shared" si="170"/>
        <v>333</v>
      </c>
      <c r="V62" s="87">
        <f t="shared" ref="V62:Y62" si="171">ROUND(V24,-3)</f>
        <v>71000</v>
      </c>
      <c r="W62" s="123">
        <f t="shared" si="171"/>
        <v>16000</v>
      </c>
      <c r="X62" s="139">
        <f t="shared" si="171"/>
        <v>1762000</v>
      </c>
      <c r="Y62" s="57">
        <f t="shared" si="171"/>
        <v>398000</v>
      </c>
    </row>
    <row r="63" spans="1:25" x14ac:dyDescent="0.25">
      <c r="A63" s="127">
        <v>2039</v>
      </c>
      <c r="B63" s="130">
        <f t="shared" ref="B63:E63" si="172">B25</f>
        <v>12.149739716675199</v>
      </c>
      <c r="C63" s="50">
        <f t="shared" si="172"/>
        <v>333</v>
      </c>
      <c r="D63" s="93">
        <f t="shared" si="172"/>
        <v>0.5</v>
      </c>
      <c r="E63" s="50">
        <f t="shared" si="172"/>
        <v>73.109856116660779</v>
      </c>
      <c r="F63" s="87">
        <f t="shared" ref="F63:G63" si="173">ROUND(F25,-3)</f>
        <v>148000</v>
      </c>
      <c r="G63" s="123">
        <f t="shared" si="173"/>
        <v>31000</v>
      </c>
      <c r="H63" s="130">
        <f t="shared" ref="H63:J63" si="174">H25</f>
        <v>6.5636254328475241</v>
      </c>
      <c r="I63" s="50">
        <f t="shared" si="174"/>
        <v>37.880754464591078</v>
      </c>
      <c r="J63" s="67">
        <f t="shared" si="174"/>
        <v>333</v>
      </c>
      <c r="K63" s="87">
        <f t="shared" ref="K63:L63" si="175">ROUND(K25,-3)</f>
        <v>83000</v>
      </c>
      <c r="L63" s="123">
        <f t="shared" si="175"/>
        <v>17000</v>
      </c>
      <c r="M63" s="130">
        <f t="shared" ref="M63:P63" si="176">M25</f>
        <v>12.149739716675199</v>
      </c>
      <c r="N63" s="50">
        <f t="shared" si="176"/>
        <v>333</v>
      </c>
      <c r="O63" s="108">
        <f t="shared" si="176"/>
        <v>0.5</v>
      </c>
      <c r="P63" s="50">
        <f t="shared" si="176"/>
        <v>731.09856116660785</v>
      </c>
      <c r="Q63" s="87">
        <f t="shared" ref="Q63:R63" si="177">ROUND(Q25,-3)</f>
        <v>1479000</v>
      </c>
      <c r="R63" s="123">
        <f t="shared" si="177"/>
        <v>312000</v>
      </c>
      <c r="S63" s="130">
        <f t="shared" ref="S63:U63" si="178">S25</f>
        <v>0.57098024197734365</v>
      </c>
      <c r="T63" s="50">
        <f t="shared" si="178"/>
        <v>378.80754464591075</v>
      </c>
      <c r="U63" s="50">
        <f t="shared" si="178"/>
        <v>333</v>
      </c>
      <c r="V63" s="87">
        <f t="shared" ref="V63:Y63" si="179">ROUND(V25,-3)</f>
        <v>72000</v>
      </c>
      <c r="W63" s="123">
        <f t="shared" si="179"/>
        <v>15000</v>
      </c>
      <c r="X63" s="139">
        <f t="shared" si="179"/>
        <v>1782000</v>
      </c>
      <c r="Y63" s="57">
        <f t="shared" si="179"/>
        <v>376000</v>
      </c>
    </row>
    <row r="64" spans="1:25" x14ac:dyDescent="0.25">
      <c r="A64" s="127">
        <v>2040</v>
      </c>
      <c r="B64" s="130">
        <f t="shared" ref="B64:E64" si="180">B26</f>
        <v>12.149739716675199</v>
      </c>
      <c r="C64" s="50">
        <f t="shared" si="180"/>
        <v>333</v>
      </c>
      <c r="D64" s="93">
        <f t="shared" si="180"/>
        <v>0.5</v>
      </c>
      <c r="E64" s="50">
        <f t="shared" si="180"/>
        <v>73.928713257481206</v>
      </c>
      <c r="F64" s="87">
        <f t="shared" ref="F64:G64" si="181">ROUND(F26,-3)</f>
        <v>150000</v>
      </c>
      <c r="G64" s="123">
        <f t="shared" si="181"/>
        <v>29000</v>
      </c>
      <c r="H64" s="130">
        <f t="shared" ref="H64:J64" si="182">H26</f>
        <v>6.5636254328475241</v>
      </c>
      <c r="I64" s="50">
        <f t="shared" si="182"/>
        <v>38.30503277589699</v>
      </c>
      <c r="J64" s="67">
        <f t="shared" si="182"/>
        <v>333</v>
      </c>
      <c r="K64" s="87">
        <f t="shared" ref="K64:L64" si="183">ROUND(K26,-3)</f>
        <v>84000</v>
      </c>
      <c r="L64" s="123">
        <f t="shared" si="183"/>
        <v>17000</v>
      </c>
      <c r="M64" s="130">
        <f t="shared" ref="M64:P64" si="184">M26</f>
        <v>12.149739716675199</v>
      </c>
      <c r="N64" s="50">
        <f t="shared" si="184"/>
        <v>333</v>
      </c>
      <c r="O64" s="108">
        <f t="shared" si="184"/>
        <v>0.5</v>
      </c>
      <c r="P64" s="50">
        <f t="shared" si="184"/>
        <v>739.28713257481206</v>
      </c>
      <c r="Q64" s="87">
        <f t="shared" ref="Q64:R64" si="185">ROUND(Q26,-3)</f>
        <v>1496000</v>
      </c>
      <c r="R64" s="123">
        <f t="shared" si="185"/>
        <v>295000</v>
      </c>
      <c r="S64" s="130">
        <f t="shared" ref="S64:U64" si="186">S26</f>
        <v>0.57098024197734365</v>
      </c>
      <c r="T64" s="50">
        <f t="shared" si="186"/>
        <v>383.0503277589699</v>
      </c>
      <c r="U64" s="50">
        <f t="shared" si="186"/>
        <v>333</v>
      </c>
      <c r="V64" s="87">
        <f t="shared" ref="V64:Y64" si="187">ROUND(V26,-3)</f>
        <v>73000</v>
      </c>
      <c r="W64" s="123">
        <f t="shared" si="187"/>
        <v>14000</v>
      </c>
      <c r="X64" s="139">
        <f t="shared" si="187"/>
        <v>1802000</v>
      </c>
      <c r="Y64" s="57">
        <f t="shared" si="187"/>
        <v>355000</v>
      </c>
    </row>
    <row r="65" spans="1:25" x14ac:dyDescent="0.25">
      <c r="A65" s="127">
        <v>2041</v>
      </c>
      <c r="B65" s="130">
        <f t="shared" ref="B65:E65" si="188">B27</f>
        <v>12.149739716675199</v>
      </c>
      <c r="C65" s="50">
        <f t="shared" si="188"/>
        <v>333</v>
      </c>
      <c r="D65" s="93">
        <f t="shared" si="188"/>
        <v>0.5</v>
      </c>
      <c r="E65" s="50">
        <f t="shared" si="188"/>
        <v>74.756741897914537</v>
      </c>
      <c r="F65" s="87">
        <f t="shared" ref="F65:G65" si="189">ROUND(F27,-3)</f>
        <v>151000</v>
      </c>
      <c r="G65" s="123">
        <f t="shared" si="189"/>
        <v>28000</v>
      </c>
      <c r="H65" s="130">
        <f t="shared" ref="H65:J65" si="190">H27</f>
        <v>6.5636254328475241</v>
      </c>
      <c r="I65" s="50">
        <f t="shared" si="190"/>
        <v>38.734063159541193</v>
      </c>
      <c r="J65" s="67">
        <f t="shared" si="190"/>
        <v>333</v>
      </c>
      <c r="K65" s="87">
        <f t="shared" ref="K65:L65" si="191">ROUND(K27,-3)</f>
        <v>85000</v>
      </c>
      <c r="L65" s="123">
        <f t="shared" si="191"/>
        <v>16000</v>
      </c>
      <c r="M65" s="130">
        <f t="shared" ref="M65:P65" si="192">M27</f>
        <v>12.149739716675199</v>
      </c>
      <c r="N65" s="50">
        <f t="shared" si="192"/>
        <v>333</v>
      </c>
      <c r="O65" s="108">
        <f t="shared" si="192"/>
        <v>0.5</v>
      </c>
      <c r="P65" s="50">
        <f t="shared" si="192"/>
        <v>747.56741897914537</v>
      </c>
      <c r="Q65" s="87">
        <f t="shared" ref="Q65:R65" si="193">ROUND(Q27,-3)</f>
        <v>1512000</v>
      </c>
      <c r="R65" s="123">
        <f t="shared" si="193"/>
        <v>279000</v>
      </c>
      <c r="S65" s="130">
        <f t="shared" ref="S65:U65" si="194">S27</f>
        <v>0.57098024197734365</v>
      </c>
      <c r="T65" s="50">
        <f t="shared" si="194"/>
        <v>387.34063159541193</v>
      </c>
      <c r="U65" s="50">
        <f t="shared" si="194"/>
        <v>333</v>
      </c>
      <c r="V65" s="87">
        <f t="shared" ref="V65:Y65" si="195">ROUND(V27,-3)</f>
        <v>74000</v>
      </c>
      <c r="W65" s="123">
        <f t="shared" si="195"/>
        <v>14000</v>
      </c>
      <c r="X65" s="139">
        <f t="shared" si="195"/>
        <v>1822000</v>
      </c>
      <c r="Y65" s="57">
        <f t="shared" si="195"/>
        <v>336000</v>
      </c>
    </row>
    <row r="66" spans="1:25" x14ac:dyDescent="0.25">
      <c r="A66" s="127">
        <v>2042</v>
      </c>
      <c r="B66" s="130">
        <f t="shared" ref="B66:E66" si="196">B28</f>
        <v>12.149739716675199</v>
      </c>
      <c r="C66" s="50">
        <f t="shared" si="196"/>
        <v>333</v>
      </c>
      <c r="D66" s="93">
        <f t="shared" si="196"/>
        <v>0.5</v>
      </c>
      <c r="E66" s="50">
        <f t="shared" si="196"/>
        <v>75.594044762112418</v>
      </c>
      <c r="F66" s="87">
        <f t="shared" ref="F66:G66" si="197">ROUND(F28,-3)</f>
        <v>153000</v>
      </c>
      <c r="G66" s="123">
        <f t="shared" si="197"/>
        <v>26000</v>
      </c>
      <c r="H66" s="130">
        <f t="shared" ref="H66:J66" si="198">H28</f>
        <v>6.5636254328475241</v>
      </c>
      <c r="I66" s="50">
        <f t="shared" si="198"/>
        <v>39.167898840472745</v>
      </c>
      <c r="J66" s="67">
        <f t="shared" si="198"/>
        <v>333</v>
      </c>
      <c r="K66" s="87">
        <f t="shared" ref="K66:L66" si="199">ROUND(K28,-3)</f>
        <v>86000</v>
      </c>
      <c r="L66" s="123">
        <f t="shared" si="199"/>
        <v>15000</v>
      </c>
      <c r="M66" s="130">
        <f t="shared" ref="M66:P66" si="200">M28</f>
        <v>12.149739716675199</v>
      </c>
      <c r="N66" s="50">
        <f t="shared" si="200"/>
        <v>333</v>
      </c>
      <c r="O66" s="108">
        <f t="shared" si="200"/>
        <v>0.5</v>
      </c>
      <c r="P66" s="50">
        <f t="shared" si="200"/>
        <v>755.94044762112412</v>
      </c>
      <c r="Q66" s="87">
        <f t="shared" ref="Q66:R66" si="201">ROUND(Q28,-3)</f>
        <v>1529000</v>
      </c>
      <c r="R66" s="123">
        <f t="shared" si="201"/>
        <v>263000</v>
      </c>
      <c r="S66" s="130">
        <f t="shared" ref="S66:U66" si="202">S28</f>
        <v>0.57098024197734365</v>
      </c>
      <c r="T66" s="50">
        <f t="shared" si="202"/>
        <v>391.67898840472742</v>
      </c>
      <c r="U66" s="50">
        <f t="shared" si="202"/>
        <v>333</v>
      </c>
      <c r="V66" s="87">
        <f t="shared" ref="V66:Y66" si="203">ROUND(V28,-3)</f>
        <v>74000</v>
      </c>
      <c r="W66" s="123">
        <f t="shared" si="203"/>
        <v>13000</v>
      </c>
      <c r="X66" s="139">
        <f t="shared" si="203"/>
        <v>1842000</v>
      </c>
      <c r="Y66" s="57">
        <f t="shared" si="203"/>
        <v>317000</v>
      </c>
    </row>
    <row r="67" spans="1:25" x14ac:dyDescent="0.25">
      <c r="A67" s="127">
        <v>2043</v>
      </c>
      <c r="B67" s="130">
        <f t="shared" ref="B67:E67" si="204">B29</f>
        <v>12.149739716675199</v>
      </c>
      <c r="C67" s="50">
        <f t="shared" si="204"/>
        <v>333</v>
      </c>
      <c r="D67" s="93">
        <f t="shared" si="204"/>
        <v>0.5</v>
      </c>
      <c r="E67" s="50">
        <f t="shared" si="204"/>
        <v>76.440725724774666</v>
      </c>
      <c r="F67" s="87">
        <f t="shared" ref="F67:G67" si="205">ROUND(F29,-3)</f>
        <v>155000</v>
      </c>
      <c r="G67" s="123">
        <f t="shared" si="205"/>
        <v>25000</v>
      </c>
      <c r="H67" s="130">
        <f t="shared" ref="H67:J67" si="206">H29</f>
        <v>6.5636254328475241</v>
      </c>
      <c r="I67" s="50">
        <f t="shared" si="206"/>
        <v>39.606593639779618</v>
      </c>
      <c r="J67" s="67">
        <f t="shared" si="206"/>
        <v>333</v>
      </c>
      <c r="K67" s="87">
        <f t="shared" ref="K67:L67" si="207">ROUND(K29,-3)</f>
        <v>87000</v>
      </c>
      <c r="L67" s="123">
        <f t="shared" si="207"/>
        <v>14000</v>
      </c>
      <c r="M67" s="130">
        <f t="shared" ref="M67:P67" si="208">M29</f>
        <v>12.149739716675199</v>
      </c>
      <c r="N67" s="50">
        <f t="shared" si="208"/>
        <v>333</v>
      </c>
      <c r="O67" s="108">
        <f t="shared" si="208"/>
        <v>0.5</v>
      </c>
      <c r="P67" s="50">
        <f t="shared" si="208"/>
        <v>764.40725724774666</v>
      </c>
      <c r="Q67" s="87">
        <f t="shared" ref="Q67:R67" si="209">ROUND(Q29,-3)</f>
        <v>1546000</v>
      </c>
      <c r="R67" s="123">
        <f t="shared" si="209"/>
        <v>249000</v>
      </c>
      <c r="S67" s="130">
        <f t="shared" ref="S67:U67" si="210">S29</f>
        <v>0.57098024197734365</v>
      </c>
      <c r="T67" s="50">
        <f t="shared" si="210"/>
        <v>396.06593639779618</v>
      </c>
      <c r="U67" s="50">
        <f t="shared" si="210"/>
        <v>333</v>
      </c>
      <c r="V67" s="87">
        <f t="shared" ref="V67:Y67" si="211">ROUND(V29,-3)</f>
        <v>75000</v>
      </c>
      <c r="W67" s="123">
        <f t="shared" si="211"/>
        <v>12000</v>
      </c>
      <c r="X67" s="139">
        <f t="shared" si="211"/>
        <v>1863000</v>
      </c>
      <c r="Y67" s="57">
        <f t="shared" si="211"/>
        <v>300000</v>
      </c>
    </row>
    <row r="68" spans="1:25" x14ac:dyDescent="0.25">
      <c r="A68" s="127">
        <v>2044</v>
      </c>
      <c r="B68" s="130">
        <f t="shared" ref="B68:E68" si="212">B30</f>
        <v>12.149739716675199</v>
      </c>
      <c r="C68" s="50">
        <f t="shared" si="212"/>
        <v>333</v>
      </c>
      <c r="D68" s="93">
        <f t="shared" si="212"/>
        <v>0.5</v>
      </c>
      <c r="E68" s="50">
        <f t="shared" si="212"/>
        <v>77.296889824035702</v>
      </c>
      <c r="F68" s="87">
        <f t="shared" ref="F68:G68" si="213">ROUND(F30,-3)</f>
        <v>156000</v>
      </c>
      <c r="G68" s="123">
        <f t="shared" si="213"/>
        <v>24000</v>
      </c>
      <c r="H68" s="130">
        <f t="shared" ref="H68:J68" si="214">H30</f>
        <v>6.5636254328475241</v>
      </c>
      <c r="I68" s="50">
        <f t="shared" si="214"/>
        <v>40.050201981365646</v>
      </c>
      <c r="J68" s="67">
        <f t="shared" si="214"/>
        <v>333</v>
      </c>
      <c r="K68" s="87">
        <f t="shared" ref="K68:L68" si="215">ROUND(K30,-3)</f>
        <v>88000</v>
      </c>
      <c r="L68" s="123">
        <f t="shared" si="215"/>
        <v>13000</v>
      </c>
      <c r="M68" s="130">
        <f t="shared" ref="M68:P68" si="216">M30</f>
        <v>12.149739716675199</v>
      </c>
      <c r="N68" s="50">
        <f t="shared" si="216"/>
        <v>333</v>
      </c>
      <c r="O68" s="108">
        <f t="shared" si="216"/>
        <v>0.5</v>
      </c>
      <c r="P68" s="50">
        <f t="shared" si="216"/>
        <v>772.96889824035702</v>
      </c>
      <c r="Q68" s="87">
        <f t="shared" ref="Q68:R68" si="217">ROUND(Q30,-3)</f>
        <v>1564000</v>
      </c>
      <c r="R68" s="123">
        <f t="shared" si="217"/>
        <v>235000</v>
      </c>
      <c r="S68" s="130">
        <f t="shared" ref="S68:U68" si="218">S30</f>
        <v>0.57098024197734365</v>
      </c>
      <c r="T68" s="50">
        <f t="shared" si="218"/>
        <v>400.50201981365649</v>
      </c>
      <c r="U68" s="50">
        <f t="shared" si="218"/>
        <v>333</v>
      </c>
      <c r="V68" s="87">
        <f t="shared" ref="V68:Y68" si="219">ROUND(V30,-3)</f>
        <v>76000</v>
      </c>
      <c r="W68" s="123">
        <f t="shared" si="219"/>
        <v>11000</v>
      </c>
      <c r="X68" s="139">
        <f t="shared" si="219"/>
        <v>1884000</v>
      </c>
      <c r="Y68" s="57">
        <f t="shared" si="219"/>
        <v>283000</v>
      </c>
    </row>
    <row r="69" spans="1:25" x14ac:dyDescent="0.25">
      <c r="A69" s="127">
        <v>2045</v>
      </c>
      <c r="B69" s="130">
        <f t="shared" ref="B69:E69" si="220">B31</f>
        <v>12.149739716675199</v>
      </c>
      <c r="C69" s="50">
        <f t="shared" si="220"/>
        <v>333</v>
      </c>
      <c r="D69" s="93">
        <f t="shared" si="220"/>
        <v>0.5</v>
      </c>
      <c r="E69" s="50">
        <f t="shared" si="220"/>
        <v>78.16264327449548</v>
      </c>
      <c r="F69" s="87">
        <f t="shared" ref="F69:G69" si="221">ROUND(F31,-3)</f>
        <v>158000</v>
      </c>
      <c r="G69" s="123">
        <f t="shared" si="221"/>
        <v>22000</v>
      </c>
      <c r="H69" s="130">
        <f t="shared" ref="H69:J69" si="222">H31</f>
        <v>6.5636254328475241</v>
      </c>
      <c r="I69" s="50">
        <f t="shared" si="222"/>
        <v>40.498778898702327</v>
      </c>
      <c r="J69" s="67">
        <f t="shared" si="222"/>
        <v>333</v>
      </c>
      <c r="K69" s="87">
        <f t="shared" ref="K69:L69" si="223">ROUND(K31,-3)</f>
        <v>89000</v>
      </c>
      <c r="L69" s="123">
        <f t="shared" si="223"/>
        <v>12000</v>
      </c>
      <c r="M69" s="130">
        <f t="shared" ref="M69:P69" si="224">M31</f>
        <v>12.149739716675199</v>
      </c>
      <c r="N69" s="50">
        <f t="shared" si="224"/>
        <v>333</v>
      </c>
      <c r="O69" s="108">
        <f t="shared" si="224"/>
        <v>0.5</v>
      </c>
      <c r="P69" s="50">
        <f t="shared" si="224"/>
        <v>781.62643274495485</v>
      </c>
      <c r="Q69" s="87">
        <f t="shared" ref="Q69:R69" si="225">ROUND(Q31,-3)</f>
        <v>1581000</v>
      </c>
      <c r="R69" s="123">
        <f t="shared" si="225"/>
        <v>222000</v>
      </c>
      <c r="S69" s="130">
        <f t="shared" ref="S69:U69" si="226">S31</f>
        <v>0.57098024197734365</v>
      </c>
      <c r="T69" s="50">
        <f t="shared" si="226"/>
        <v>404.98778898702324</v>
      </c>
      <c r="U69" s="50">
        <f t="shared" si="226"/>
        <v>333</v>
      </c>
      <c r="V69" s="87">
        <f t="shared" ref="V69:Y69" si="227">ROUND(V31,-3)</f>
        <v>77000</v>
      </c>
      <c r="W69" s="123">
        <f t="shared" si="227"/>
        <v>11000</v>
      </c>
      <c r="X69" s="139">
        <f t="shared" si="227"/>
        <v>1905000</v>
      </c>
      <c r="Y69" s="57">
        <f t="shared" si="227"/>
        <v>268000</v>
      </c>
    </row>
    <row r="70" spans="1:25" x14ac:dyDescent="0.25">
      <c r="A70" s="127">
        <v>2046</v>
      </c>
      <c r="B70" s="130">
        <f t="shared" ref="B70:E70" si="228">B32</f>
        <v>12.149739716675199</v>
      </c>
      <c r="C70" s="50">
        <f t="shared" si="228"/>
        <v>333</v>
      </c>
      <c r="D70" s="93">
        <f t="shared" si="228"/>
        <v>0.5</v>
      </c>
      <c r="E70" s="50">
        <f t="shared" si="228"/>
        <v>79.038093480396441</v>
      </c>
      <c r="F70" s="87">
        <f t="shared" ref="F70:G70" si="229">ROUND(F32,-3)</f>
        <v>160000</v>
      </c>
      <c r="G70" s="123">
        <f t="shared" si="229"/>
        <v>21000</v>
      </c>
      <c r="H70" s="130">
        <f t="shared" ref="H70:J70" si="230">H32</f>
        <v>6.5636254328475241</v>
      </c>
      <c r="I70" s="50">
        <f t="shared" si="230"/>
        <v>40.952380041656184</v>
      </c>
      <c r="J70" s="67">
        <f t="shared" si="230"/>
        <v>333</v>
      </c>
      <c r="K70" s="87">
        <f t="shared" ref="K70:L70" si="231">ROUND(K32,-3)</f>
        <v>90000</v>
      </c>
      <c r="L70" s="123">
        <f t="shared" si="231"/>
        <v>12000</v>
      </c>
      <c r="M70" s="130">
        <f t="shared" ref="M70:P70" si="232">M32</f>
        <v>12.149739716675199</v>
      </c>
      <c r="N70" s="50">
        <f t="shared" si="232"/>
        <v>333</v>
      </c>
      <c r="O70" s="108">
        <f t="shared" si="232"/>
        <v>0.5</v>
      </c>
      <c r="P70" s="50">
        <f t="shared" si="232"/>
        <v>790.38093480396446</v>
      </c>
      <c r="Q70" s="87">
        <f t="shared" ref="Q70:R70" si="233">ROUND(Q32,-3)</f>
        <v>1599000</v>
      </c>
      <c r="R70" s="123">
        <f t="shared" si="233"/>
        <v>210000</v>
      </c>
      <c r="S70" s="130">
        <f t="shared" ref="S70:U70" si="234">S32</f>
        <v>0.57098024197734365</v>
      </c>
      <c r="T70" s="50">
        <f t="shared" si="234"/>
        <v>409.52380041656181</v>
      </c>
      <c r="U70" s="50">
        <f t="shared" si="234"/>
        <v>333</v>
      </c>
      <c r="V70" s="87">
        <f t="shared" ref="V70:Y70" si="235">ROUND(V32,-3)</f>
        <v>78000</v>
      </c>
      <c r="W70" s="123">
        <f t="shared" si="235"/>
        <v>10000</v>
      </c>
      <c r="X70" s="139">
        <f t="shared" si="235"/>
        <v>1926000</v>
      </c>
      <c r="Y70" s="57">
        <f t="shared" si="235"/>
        <v>253000</v>
      </c>
    </row>
    <row r="71" spans="1:25" x14ac:dyDescent="0.25">
      <c r="A71" s="127">
        <v>2047</v>
      </c>
      <c r="B71" s="130">
        <f t="shared" ref="B71:E71" si="236">B33</f>
        <v>12.149739716675199</v>
      </c>
      <c r="C71" s="50">
        <f t="shared" si="236"/>
        <v>333</v>
      </c>
      <c r="D71" s="93">
        <f t="shared" si="236"/>
        <v>0.5</v>
      </c>
      <c r="E71" s="50">
        <f t="shared" si="236"/>
        <v>79.923349048947699</v>
      </c>
      <c r="F71" s="87">
        <f t="shared" ref="F71:G71" si="237">ROUND(F33,-3)</f>
        <v>162000</v>
      </c>
      <c r="G71" s="123">
        <f t="shared" si="237"/>
        <v>20000</v>
      </c>
      <c r="H71" s="130">
        <f t="shared" ref="H71:J71" si="238">H33</f>
        <v>6.5636254328475241</v>
      </c>
      <c r="I71" s="50">
        <f t="shared" si="238"/>
        <v>41.411061683392575</v>
      </c>
      <c r="J71" s="67">
        <f t="shared" si="238"/>
        <v>333</v>
      </c>
      <c r="K71" s="87">
        <f t="shared" ref="K71:L71" si="239">ROUND(K33,-3)</f>
        <v>91000</v>
      </c>
      <c r="L71" s="123">
        <f t="shared" si="239"/>
        <v>11000</v>
      </c>
      <c r="M71" s="130">
        <f t="shared" ref="M71:P71" si="240">M33</f>
        <v>12.149739716675199</v>
      </c>
      <c r="N71" s="50">
        <f t="shared" si="240"/>
        <v>333</v>
      </c>
      <c r="O71" s="108">
        <f t="shared" si="240"/>
        <v>0.5</v>
      </c>
      <c r="P71" s="50">
        <f t="shared" si="240"/>
        <v>799.23349048947694</v>
      </c>
      <c r="Q71" s="87">
        <f t="shared" ref="Q71:R71" si="241">ROUND(Q33,-3)</f>
        <v>1617000</v>
      </c>
      <c r="R71" s="123">
        <f t="shared" si="241"/>
        <v>198000</v>
      </c>
      <c r="S71" s="130">
        <f t="shared" ref="S71:U71" si="242">S33</f>
        <v>0.57098024197734365</v>
      </c>
      <c r="T71" s="50">
        <f t="shared" si="242"/>
        <v>414.11061683392575</v>
      </c>
      <c r="U71" s="50">
        <f t="shared" si="242"/>
        <v>333</v>
      </c>
      <c r="V71" s="87">
        <f t="shared" ref="V71:Y71" si="243">ROUND(V33,-3)</f>
        <v>79000</v>
      </c>
      <c r="W71" s="123">
        <f t="shared" si="243"/>
        <v>10000</v>
      </c>
      <c r="X71" s="139">
        <f t="shared" si="243"/>
        <v>1948000</v>
      </c>
      <c r="Y71" s="57">
        <f t="shared" si="243"/>
        <v>239000</v>
      </c>
    </row>
    <row r="72" spans="1:25" x14ac:dyDescent="0.25">
      <c r="A72" s="127">
        <v>2048</v>
      </c>
      <c r="B72" s="130">
        <f t="shared" ref="B72:E72" si="244">B34</f>
        <v>12.149739716675199</v>
      </c>
      <c r="C72" s="50">
        <f t="shared" si="244"/>
        <v>333</v>
      </c>
      <c r="D72" s="93">
        <f t="shared" si="244"/>
        <v>0.5</v>
      </c>
      <c r="E72" s="50">
        <f t="shared" si="244"/>
        <v>80.818519803798893</v>
      </c>
      <c r="F72" s="87">
        <f t="shared" ref="F72:G72" si="245">ROUND(F34,-3)</f>
        <v>163000</v>
      </c>
      <c r="G72" s="123">
        <f t="shared" si="245"/>
        <v>19000</v>
      </c>
      <c r="H72" s="130">
        <f t="shared" ref="H72:J72" si="246">H34</f>
        <v>6.5636254328475241</v>
      </c>
      <c r="I72" s="50">
        <f t="shared" si="246"/>
        <v>41.874880727356938</v>
      </c>
      <c r="J72" s="67">
        <f t="shared" si="246"/>
        <v>333</v>
      </c>
      <c r="K72" s="87">
        <f t="shared" ref="K72:L72" si="247">ROUND(K34,-3)</f>
        <v>92000</v>
      </c>
      <c r="L72" s="123">
        <f t="shared" si="247"/>
        <v>11000</v>
      </c>
      <c r="M72" s="130">
        <f t="shared" ref="M72:P72" si="248">M34</f>
        <v>12.149739716675199</v>
      </c>
      <c r="N72" s="50">
        <f t="shared" si="248"/>
        <v>333</v>
      </c>
      <c r="O72" s="108">
        <f t="shared" si="248"/>
        <v>0.5</v>
      </c>
      <c r="P72" s="50">
        <f t="shared" si="248"/>
        <v>808.18519803798893</v>
      </c>
      <c r="Q72" s="87">
        <f t="shared" ref="Q72:R72" si="249">ROUND(Q34,-3)</f>
        <v>1635000</v>
      </c>
      <c r="R72" s="123">
        <f t="shared" si="249"/>
        <v>188000</v>
      </c>
      <c r="S72" s="130">
        <f t="shared" ref="S72:U72" si="250">S34</f>
        <v>0.57098024197734365</v>
      </c>
      <c r="T72" s="50">
        <f t="shared" si="250"/>
        <v>418.74880727356935</v>
      </c>
      <c r="U72" s="50">
        <f t="shared" si="250"/>
        <v>333</v>
      </c>
      <c r="V72" s="87">
        <f t="shared" ref="V72:Y72" si="251">ROUND(V34,-3)</f>
        <v>80000</v>
      </c>
      <c r="W72" s="123">
        <f t="shared" si="251"/>
        <v>9000</v>
      </c>
      <c r="X72" s="139">
        <f t="shared" si="251"/>
        <v>1970000</v>
      </c>
      <c r="Y72" s="57">
        <f t="shared" si="251"/>
        <v>226000</v>
      </c>
    </row>
    <row r="73" spans="1:25" ht="15.75" thickBot="1" x14ac:dyDescent="0.3">
      <c r="A73" s="127">
        <v>2049</v>
      </c>
      <c r="B73" s="130">
        <f t="shared" ref="B73:E73" si="252">B35</f>
        <v>12.149739716675199</v>
      </c>
      <c r="C73" s="50">
        <f t="shared" si="252"/>
        <v>333</v>
      </c>
      <c r="D73" s="93">
        <f t="shared" si="252"/>
        <v>0.5</v>
      </c>
      <c r="E73" s="50">
        <f t="shared" si="252"/>
        <v>81.723716798664753</v>
      </c>
      <c r="F73" s="87">
        <f t="shared" ref="F73:G73" si="253">ROUND(F35,-3)</f>
        <v>165000</v>
      </c>
      <c r="G73" s="123">
        <f t="shared" si="253"/>
        <v>18000</v>
      </c>
      <c r="H73" s="130">
        <f t="shared" ref="H73:J73" si="254">H35</f>
        <v>6.5636254328475241</v>
      </c>
      <c r="I73" s="50">
        <f t="shared" si="254"/>
        <v>42.343894714334056</v>
      </c>
      <c r="J73" s="67">
        <f t="shared" si="254"/>
        <v>333</v>
      </c>
      <c r="K73" s="87">
        <f t="shared" ref="K73:L73" si="255">ROUND(K35,-3)</f>
        <v>93000</v>
      </c>
      <c r="L73" s="123">
        <f t="shared" si="255"/>
        <v>10000</v>
      </c>
      <c r="M73" s="130">
        <f t="shared" ref="M73:P73" si="256">M35</f>
        <v>12.149739716675199</v>
      </c>
      <c r="N73" s="50">
        <f t="shared" si="256"/>
        <v>333</v>
      </c>
      <c r="O73" s="108">
        <f t="shared" si="256"/>
        <v>0.5</v>
      </c>
      <c r="P73" s="50">
        <f t="shared" si="256"/>
        <v>817.23716798664759</v>
      </c>
      <c r="Q73" s="87">
        <f t="shared" ref="Q73:R73" si="257">ROUND(Q35,-3)</f>
        <v>1653000</v>
      </c>
      <c r="R73" s="123">
        <f t="shared" si="257"/>
        <v>177000</v>
      </c>
      <c r="S73" s="130">
        <f t="shared" ref="S73:U73" si="258">S35</f>
        <v>0.57098024197734365</v>
      </c>
      <c r="T73" s="50">
        <f t="shared" si="258"/>
        <v>423.43894714334056</v>
      </c>
      <c r="U73" s="50">
        <f t="shared" si="258"/>
        <v>333</v>
      </c>
      <c r="V73" s="87">
        <f t="shared" ref="V73:Y73" si="259">ROUND(V35,-3)</f>
        <v>81000</v>
      </c>
      <c r="W73" s="123">
        <f t="shared" si="259"/>
        <v>9000</v>
      </c>
      <c r="X73" s="139">
        <f t="shared" si="259"/>
        <v>1992000</v>
      </c>
      <c r="Y73" s="57">
        <f t="shared" si="259"/>
        <v>214000</v>
      </c>
    </row>
    <row r="74" spans="1:25" ht="15.75" thickBot="1" x14ac:dyDescent="0.3">
      <c r="A74" s="134" t="s">
        <v>165</v>
      </c>
      <c r="B74" s="135">
        <f t="shared" ref="B74:E74" si="260">B36</f>
        <v>0</v>
      </c>
      <c r="C74" s="136">
        <f t="shared" si="260"/>
        <v>0</v>
      </c>
      <c r="D74" s="136">
        <f t="shared" si="260"/>
        <v>0</v>
      </c>
      <c r="E74" s="136">
        <f t="shared" si="260"/>
        <v>2095.7814180168471</v>
      </c>
      <c r="F74" s="77">
        <f t="shared" ref="F74:G74" si="261">ROUND(F36,-3)</f>
        <v>4240000</v>
      </c>
      <c r="G74" s="79">
        <f t="shared" si="261"/>
        <v>1357000</v>
      </c>
      <c r="H74" s="135">
        <f t="shared" ref="H74:J74" si="262">H36</f>
        <v>0</v>
      </c>
      <c r="I74" s="136">
        <f t="shared" si="262"/>
        <v>1085.8971077807494</v>
      </c>
      <c r="J74" s="76">
        <f t="shared" si="262"/>
        <v>0</v>
      </c>
      <c r="K74" s="77">
        <f t="shared" ref="K74:L74" si="263">ROUND(K36,-3)</f>
        <v>2373000</v>
      </c>
      <c r="L74" s="79">
        <f t="shared" si="263"/>
        <v>760000</v>
      </c>
      <c r="M74" s="135">
        <f t="shared" ref="M74:P74" si="264">M36</f>
        <v>0</v>
      </c>
      <c r="N74" s="136">
        <f t="shared" si="264"/>
        <v>0</v>
      </c>
      <c r="O74" s="136">
        <f t="shared" si="264"/>
        <v>0</v>
      </c>
      <c r="P74" s="136">
        <f t="shared" si="264"/>
        <v>20957.814180168476</v>
      </c>
      <c r="Q74" s="77">
        <f t="shared" ref="Q74:R74" si="265">ROUND(Q36,-3)</f>
        <v>42396000</v>
      </c>
      <c r="R74" s="79">
        <f t="shared" si="265"/>
        <v>13567000</v>
      </c>
      <c r="S74" s="135">
        <f t="shared" ref="S74:U74" si="266">S36</f>
        <v>0</v>
      </c>
      <c r="T74" s="136">
        <f t="shared" si="266"/>
        <v>10858.971077807499</v>
      </c>
      <c r="U74" s="136">
        <f t="shared" si="266"/>
        <v>0</v>
      </c>
      <c r="V74" s="77">
        <f t="shared" ref="V74:Y74" si="267">ROUND(V36,-3)</f>
        <v>2065000</v>
      </c>
      <c r="W74" s="79">
        <f t="shared" si="267"/>
        <v>661000</v>
      </c>
      <c r="X74" s="34">
        <f t="shared" si="267"/>
        <v>51074000</v>
      </c>
      <c r="Y74" s="121">
        <f t="shared" si="267"/>
        <v>16344000</v>
      </c>
    </row>
  </sheetData>
  <sheetProtection password="891C" sheet="1" objects="1" scenarios="1"/>
  <mergeCells count="16">
    <mergeCell ref="X1:Y2"/>
    <mergeCell ref="A1:A3"/>
    <mergeCell ref="B2:G2"/>
    <mergeCell ref="H2:L2"/>
    <mergeCell ref="B1:L1"/>
    <mergeCell ref="M2:R2"/>
    <mergeCell ref="S2:W2"/>
    <mergeCell ref="M1:W1"/>
    <mergeCell ref="A39:A41"/>
    <mergeCell ref="B39:L39"/>
    <mergeCell ref="M39:W39"/>
    <mergeCell ref="X39:Y40"/>
    <mergeCell ref="B40:G40"/>
    <mergeCell ref="H40:L40"/>
    <mergeCell ref="M40:R40"/>
    <mergeCell ref="S40:W4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topLeftCell="J39" zoomScale="80" zoomScaleNormal="80" workbookViewId="0">
      <selection activeCell="H85" sqref="H85"/>
    </sheetView>
  </sheetViews>
  <sheetFormatPr defaultRowHeight="15" x14ac:dyDescent="0.25"/>
  <cols>
    <col min="2" max="2" width="12.7109375" customWidth="1"/>
    <col min="3" max="3" width="12.7109375" style="27" customWidth="1"/>
    <col min="4" max="8" width="12.7109375" style="6" customWidth="1"/>
    <col min="9" max="9" width="14.7109375" style="28" customWidth="1"/>
    <col min="10" max="10" width="12.7109375" style="28" customWidth="1"/>
    <col min="11" max="11" width="12.7109375" style="27" customWidth="1"/>
    <col min="12" max="17" width="12.7109375" style="6" customWidth="1"/>
    <col min="18" max="21" width="12.7109375" style="28" customWidth="1"/>
  </cols>
  <sheetData>
    <row r="1" spans="1:21" ht="15.75" thickBot="1" x14ac:dyDescent="0.3">
      <c r="A1" s="700" t="s">
        <v>132</v>
      </c>
      <c r="B1" s="695" t="s">
        <v>166</v>
      </c>
      <c r="C1" s="696"/>
      <c r="D1" s="696"/>
      <c r="E1" s="696"/>
      <c r="F1" s="696"/>
      <c r="G1" s="696"/>
      <c r="H1" s="696"/>
      <c r="I1" s="696"/>
      <c r="J1" s="697"/>
      <c r="K1" s="695" t="s">
        <v>172</v>
      </c>
      <c r="L1" s="696"/>
      <c r="M1" s="696"/>
      <c r="N1" s="696"/>
      <c r="O1" s="696"/>
      <c r="P1" s="696"/>
      <c r="Q1" s="696"/>
      <c r="R1" s="696"/>
      <c r="S1" s="697"/>
      <c r="T1" s="698" t="s">
        <v>188</v>
      </c>
      <c r="U1" s="699"/>
    </row>
    <row r="2" spans="1:21" s="7" customFormat="1" ht="75" x14ac:dyDescent="0.25">
      <c r="A2" s="701"/>
      <c r="B2" s="39" t="s">
        <v>167</v>
      </c>
      <c r="C2" s="85" t="s">
        <v>164</v>
      </c>
      <c r="D2" s="96" t="s">
        <v>133</v>
      </c>
      <c r="E2" s="96" t="s">
        <v>134</v>
      </c>
      <c r="F2" s="96" t="s">
        <v>135</v>
      </c>
      <c r="G2" s="96" t="s">
        <v>170</v>
      </c>
      <c r="H2" s="96" t="s">
        <v>102</v>
      </c>
      <c r="I2" s="94" t="s">
        <v>161</v>
      </c>
      <c r="J2" s="126" t="s">
        <v>163</v>
      </c>
      <c r="K2" s="144" t="s">
        <v>169</v>
      </c>
      <c r="L2" s="96" t="s">
        <v>168</v>
      </c>
      <c r="M2" s="96" t="s">
        <v>133</v>
      </c>
      <c r="N2" s="96" t="s">
        <v>134</v>
      </c>
      <c r="O2" s="96" t="s">
        <v>135</v>
      </c>
      <c r="P2" s="96" t="s">
        <v>170</v>
      </c>
      <c r="Q2" s="96" t="s">
        <v>102</v>
      </c>
      <c r="R2" s="94" t="s">
        <v>161</v>
      </c>
      <c r="S2" s="126" t="s">
        <v>171</v>
      </c>
      <c r="T2" s="174" t="s">
        <v>161</v>
      </c>
      <c r="U2" s="175" t="s">
        <v>171</v>
      </c>
    </row>
    <row r="3" spans="1:21" x14ac:dyDescent="0.25">
      <c r="A3" s="142">
        <v>2018</v>
      </c>
      <c r="B3" s="41">
        <f>Inputs!$B$72</f>
        <v>20.38</v>
      </c>
      <c r="C3" s="47">
        <f>Inputs!$B$74/60</f>
        <v>0.22441958482349836</v>
      </c>
      <c r="D3" s="38">
        <f>Inputs!$B$17</f>
        <v>250</v>
      </c>
      <c r="E3" s="38">
        <f>Inputs!$B$37</f>
        <v>2</v>
      </c>
      <c r="F3" s="38">
        <v>0</v>
      </c>
      <c r="G3" s="38">
        <f>'Bicycle Users'!G7</f>
        <v>0</v>
      </c>
      <c r="H3" s="38">
        <f>SUM(F3:G3)</f>
        <v>0</v>
      </c>
      <c r="I3" s="48">
        <f>B3*C3*H3*D3*E3</f>
        <v>0</v>
      </c>
      <c r="J3" s="118">
        <f>ROUND(I3/((1+Inputs!$B$3)^(A3-2015)),0)</f>
        <v>0</v>
      </c>
      <c r="K3" s="145">
        <f>Inputs!$B$96</f>
        <v>0.28549012098867182</v>
      </c>
      <c r="L3" s="60">
        <f>Inputs!$B$99</f>
        <v>0.25</v>
      </c>
      <c r="M3" s="38">
        <f>Inputs!$B$17</f>
        <v>250</v>
      </c>
      <c r="N3" s="38">
        <f>Inputs!$B$37</f>
        <v>2</v>
      </c>
      <c r="O3" s="38">
        <v>0</v>
      </c>
      <c r="P3" s="38">
        <f>'Pedestrian Users'!H7</f>
        <v>0</v>
      </c>
      <c r="Q3" s="38">
        <f>SUM(O3:P3)</f>
        <v>0</v>
      </c>
      <c r="R3" s="48">
        <f>Q3*M3*N3*L3*K3</f>
        <v>0</v>
      </c>
      <c r="S3" s="118">
        <f>ROUND(R3/((1+Inputs!$B$3)^(A3-2015)),0)</f>
        <v>0</v>
      </c>
      <c r="T3" s="173">
        <f>SUM(I3,R3)</f>
        <v>0</v>
      </c>
      <c r="U3" s="57">
        <f>ROUND(T3/((1+Inputs!$B$3)^(A3-2016)),0)</f>
        <v>0</v>
      </c>
    </row>
    <row r="4" spans="1:21" x14ac:dyDescent="0.25">
      <c r="A4" s="142">
        <v>2019</v>
      </c>
      <c r="B4" s="41">
        <f>Inputs!$B$72</f>
        <v>20.38</v>
      </c>
      <c r="C4" s="47">
        <f>Inputs!$B$74/60</f>
        <v>0.22441958482349836</v>
      </c>
      <c r="D4" s="38">
        <f>Inputs!$B$17</f>
        <v>250</v>
      </c>
      <c r="E4" s="38">
        <f>Inputs!$B$37</f>
        <v>2</v>
      </c>
      <c r="F4" s="38">
        <v>0</v>
      </c>
      <c r="G4" s="38">
        <f>'Bicycle Users'!G8</f>
        <v>0</v>
      </c>
      <c r="H4" s="38">
        <f t="shared" ref="H4:H32" si="0">SUM(F4:G4)</f>
        <v>0</v>
      </c>
      <c r="I4" s="48">
        <f t="shared" ref="I4:I32" si="1">B4*C4*H4*D4*E4</f>
        <v>0</v>
      </c>
      <c r="J4" s="118">
        <f>ROUND(I4/((1+Inputs!$B$3)^(A4-2015)),0)</f>
        <v>0</v>
      </c>
      <c r="K4" s="145">
        <f>Inputs!$B$96</f>
        <v>0.28549012098867182</v>
      </c>
      <c r="L4" s="60">
        <f>Inputs!$B$99</f>
        <v>0.25</v>
      </c>
      <c r="M4" s="38">
        <f>Inputs!$B$17</f>
        <v>250</v>
      </c>
      <c r="N4" s="38">
        <f>Inputs!$B$37</f>
        <v>2</v>
      </c>
      <c r="O4" s="38">
        <v>0</v>
      </c>
      <c r="P4" s="38">
        <f>'Pedestrian Users'!H8</f>
        <v>0</v>
      </c>
      <c r="Q4" s="38">
        <f t="shared" ref="Q4:Q32" si="2">SUM(O4:P4)</f>
        <v>0</v>
      </c>
      <c r="R4" s="48">
        <f t="shared" ref="R4:R32" si="3">Q4*M4*N4*L4*K4</f>
        <v>0</v>
      </c>
      <c r="S4" s="118">
        <f>ROUND(R4/((1+Inputs!$B$3)^(A4-2015)),0)</f>
        <v>0</v>
      </c>
      <c r="T4" s="173">
        <f t="shared" ref="T4:T32" si="4">SUM(I4,R4)</f>
        <v>0</v>
      </c>
      <c r="U4" s="57">
        <f>ROUND(T4/((1+Inputs!$B$3)^(A4-2016)),0)</f>
        <v>0</v>
      </c>
    </row>
    <row r="5" spans="1:21" x14ac:dyDescent="0.25">
      <c r="A5" s="142">
        <v>2020</v>
      </c>
      <c r="B5" s="41">
        <f>Inputs!$B$72</f>
        <v>20.38</v>
      </c>
      <c r="C5" s="47">
        <f>Inputs!$B$74/60</f>
        <v>0.22441958482349836</v>
      </c>
      <c r="D5" s="38">
        <f>Inputs!$B$17</f>
        <v>250</v>
      </c>
      <c r="E5" s="38">
        <f>Inputs!$B$37</f>
        <v>2</v>
      </c>
      <c r="F5" s="38">
        <f>'Bicycle Users'!F9</f>
        <v>79.782483639860942</v>
      </c>
      <c r="G5" s="38">
        <f>'Bicycle Users'!G9</f>
        <v>153.98019342493163</v>
      </c>
      <c r="H5" s="38">
        <f t="shared" ref="H5" si="5">SUM(F5:G5)</f>
        <v>233.76267706479257</v>
      </c>
      <c r="I5" s="48">
        <f>B5*C5*H5*D5*E5</f>
        <v>534576.80469858355</v>
      </c>
      <c r="J5" s="118">
        <f>ROUND(I5/((1+Inputs!$B$3)^(A5-2015)),0)</f>
        <v>381146</v>
      </c>
      <c r="K5" s="145">
        <f>Inputs!$B$96</f>
        <v>0.28549012098867182</v>
      </c>
      <c r="L5" s="60">
        <f>Inputs!$B$99</f>
        <v>0.25</v>
      </c>
      <c r="M5" s="38">
        <f>Inputs!$B$17</f>
        <v>250</v>
      </c>
      <c r="N5" s="38">
        <f>Inputs!$B$37</f>
        <v>2</v>
      </c>
      <c r="O5" s="38">
        <f>'Pedestrian Users'!G9</f>
        <v>413.60919150138432</v>
      </c>
      <c r="P5" s="38">
        <f>'Pedestrian Users'!H9</f>
        <v>153.98019342493163</v>
      </c>
      <c r="Q5" s="38">
        <f t="shared" ref="Q5" si="6">SUM(O5:P5)</f>
        <v>567.58938492631592</v>
      </c>
      <c r="R5" s="48">
        <f t="shared" ref="R5" si="7">Q5*M5*N5*L5*K5</f>
        <v>20255.145271812467</v>
      </c>
      <c r="S5" s="118">
        <f>ROUND(R5/((1+Inputs!$B$3)^(A5-2015)),0)</f>
        <v>14442</v>
      </c>
      <c r="T5" s="173">
        <f t="shared" ref="T5" si="8">SUM(I5,R5)</f>
        <v>554831.949970396</v>
      </c>
      <c r="U5" s="57">
        <f>ROUND(T5/((1+Inputs!$B$3)^(A5-2016)),0)</f>
        <v>423279</v>
      </c>
    </row>
    <row r="6" spans="1:21" x14ac:dyDescent="0.25">
      <c r="A6" s="142">
        <v>2021</v>
      </c>
      <c r="B6" s="41">
        <f>Inputs!$B$72</f>
        <v>20.38</v>
      </c>
      <c r="C6" s="47">
        <f>Inputs!$B$74/60</f>
        <v>0.22441958482349836</v>
      </c>
      <c r="D6" s="38">
        <f>Inputs!$B$17</f>
        <v>250</v>
      </c>
      <c r="E6" s="38">
        <f>Inputs!$B$37</f>
        <v>2</v>
      </c>
      <c r="F6" s="38">
        <f>'Bicycle Users'!F10</f>
        <v>80.676076650584974</v>
      </c>
      <c r="G6" s="38">
        <f>'Bicycle Users'!G10</f>
        <v>155.70482793562903</v>
      </c>
      <c r="H6" s="38">
        <f t="shared" si="0"/>
        <v>236.380904586214</v>
      </c>
      <c r="I6" s="48">
        <f>B6*C6*H6*D6*E6</f>
        <v>540564.26052322506</v>
      </c>
      <c r="J6" s="118">
        <f>ROUND(I6/((1+Inputs!$B$3)^(A6-2015)),0)</f>
        <v>360201</v>
      </c>
      <c r="K6" s="145">
        <f>Inputs!$B$96</f>
        <v>0.28549012098867182</v>
      </c>
      <c r="L6" s="60">
        <f>Inputs!$B$99</f>
        <v>0.25</v>
      </c>
      <c r="M6" s="38">
        <f>Inputs!$B$17</f>
        <v>250</v>
      </c>
      <c r="N6" s="38">
        <f>Inputs!$B$37</f>
        <v>2</v>
      </c>
      <c r="O6" s="38">
        <f>'Pedestrian Users'!G10</f>
        <v>418.24176579382197</v>
      </c>
      <c r="P6" s="38">
        <f>'Pedestrian Users'!H10</f>
        <v>155.70482793562903</v>
      </c>
      <c r="Q6" s="38">
        <f t="shared" si="2"/>
        <v>573.94659372945102</v>
      </c>
      <c r="R6" s="48">
        <f t="shared" si="3"/>
        <v>20482.010310607133</v>
      </c>
      <c r="S6" s="118">
        <f>ROUND(R6/((1+Inputs!$B$3)^(A6-2015)),0)</f>
        <v>13648</v>
      </c>
      <c r="T6" s="173">
        <f t="shared" si="4"/>
        <v>561046.27083383221</v>
      </c>
      <c r="U6" s="57">
        <f>ROUND(T6/((1+Inputs!$B$3)^(A6-2016)),0)</f>
        <v>400018</v>
      </c>
    </row>
    <row r="7" spans="1:21" x14ac:dyDescent="0.25">
      <c r="A7" s="142">
        <v>2022</v>
      </c>
      <c r="B7" s="41">
        <f>Inputs!$B$72</f>
        <v>20.38</v>
      </c>
      <c r="C7" s="47">
        <f>Inputs!$B$74/60</f>
        <v>0.22441958482349836</v>
      </c>
      <c r="D7" s="38">
        <f>Inputs!$B$17</f>
        <v>250</v>
      </c>
      <c r="E7" s="38">
        <f>Inputs!$B$37</f>
        <v>2</v>
      </c>
      <c r="F7" s="38">
        <f>'Bicycle Users'!F11</f>
        <v>81.579678230012121</v>
      </c>
      <c r="G7" s="38">
        <f>'Bicycle Users'!G11</f>
        <v>157.4487789839234</v>
      </c>
      <c r="H7" s="38">
        <f t="shared" si="0"/>
        <v>239.02845721393552</v>
      </c>
      <c r="I7" s="48">
        <f>B7*C7*H7*D7*E7</f>
        <v>546618.77804402856</v>
      </c>
      <c r="J7" s="118">
        <f>ROUND(I7/((1+Inputs!$B$3)^(A7-2015)),0)</f>
        <v>340407</v>
      </c>
      <c r="K7" s="145">
        <f>Inputs!$B$96</f>
        <v>0.28549012098867182</v>
      </c>
      <c r="L7" s="60">
        <f>Inputs!$B$99</f>
        <v>0.25</v>
      </c>
      <c r="M7" s="38">
        <f>Inputs!$B$17</f>
        <v>250</v>
      </c>
      <c r="N7" s="38">
        <f>Inputs!$B$37</f>
        <v>2</v>
      </c>
      <c r="O7" s="38">
        <f>'Pedestrian Users'!G11</f>
        <v>422.92622661348378</v>
      </c>
      <c r="P7" s="38">
        <f>'Pedestrian Users'!H11</f>
        <v>157.4487789839234</v>
      </c>
      <c r="Q7" s="38">
        <f t="shared" si="2"/>
        <v>580.37500559740715</v>
      </c>
      <c r="R7" s="48">
        <f t="shared" si="3"/>
        <v>20711.416320850607</v>
      </c>
      <c r="S7" s="118">
        <f>ROUND(R7/((1+Inputs!$B$3)^(A7-2015)),0)</f>
        <v>12898</v>
      </c>
      <c r="T7" s="173">
        <f t="shared" si="4"/>
        <v>567330.19436487916</v>
      </c>
      <c r="U7" s="57">
        <f>ROUND(T7/((1+Inputs!$B$3)^(A7-2016)),0)</f>
        <v>378036</v>
      </c>
    </row>
    <row r="8" spans="1:21" x14ac:dyDescent="0.25">
      <c r="A8" s="142">
        <v>2023</v>
      </c>
      <c r="B8" s="41">
        <f>Inputs!$B$72</f>
        <v>20.38</v>
      </c>
      <c r="C8" s="47">
        <f>Inputs!$B$74/60</f>
        <v>0.22441958482349836</v>
      </c>
      <c r="D8" s="38">
        <f>Inputs!$B$17</f>
        <v>250</v>
      </c>
      <c r="E8" s="38">
        <f>Inputs!$B$37</f>
        <v>2</v>
      </c>
      <c r="F8" s="38">
        <f>'Bicycle Users'!F12</f>
        <v>82.493400477774188</v>
      </c>
      <c r="G8" s="38">
        <f>'Bicycle Users'!G12</f>
        <v>159.2122629221042</v>
      </c>
      <c r="H8" s="38">
        <f t="shared" si="0"/>
        <v>241.7056633998784</v>
      </c>
      <c r="I8" s="48">
        <f t="shared" si="1"/>
        <v>552741.10837653035</v>
      </c>
      <c r="J8" s="118">
        <f>ROUND(I8/((1+Inputs!$B$3)^(A8-2015)),0)</f>
        <v>321700</v>
      </c>
      <c r="K8" s="145">
        <f>Inputs!$B$96</f>
        <v>0.28549012098867182</v>
      </c>
      <c r="L8" s="60">
        <f>Inputs!$B$99</f>
        <v>0.25</v>
      </c>
      <c r="M8" s="38">
        <f>Inputs!$B$17</f>
        <v>250</v>
      </c>
      <c r="N8" s="38">
        <f>Inputs!$B$37</f>
        <v>2</v>
      </c>
      <c r="O8" s="38">
        <f>'Pedestrian Users'!G12</f>
        <v>427.66315510846084</v>
      </c>
      <c r="P8" s="38">
        <f>'Pedestrian Users'!H12</f>
        <v>159.2122629221042</v>
      </c>
      <c r="Q8" s="38">
        <f t="shared" si="2"/>
        <v>586.87541803056502</v>
      </c>
      <c r="R8" s="48">
        <f t="shared" si="3"/>
        <v>20943.39176235292</v>
      </c>
      <c r="S8" s="118">
        <f>ROUND(R8/((1+Inputs!$B$3)^(A8-2015)),0)</f>
        <v>12189</v>
      </c>
      <c r="T8" s="173">
        <f t="shared" si="4"/>
        <v>573684.50013888325</v>
      </c>
      <c r="U8" s="57">
        <f>ROUND(T8/((1+Inputs!$B$3)^(A8-2016)),0)</f>
        <v>357262</v>
      </c>
    </row>
    <row r="9" spans="1:21" x14ac:dyDescent="0.25">
      <c r="A9" s="142">
        <v>2024</v>
      </c>
      <c r="B9" s="41">
        <f>Inputs!$B$72</f>
        <v>20.38</v>
      </c>
      <c r="C9" s="47">
        <f>Inputs!$B$74/60</f>
        <v>0.22441958482349836</v>
      </c>
      <c r="D9" s="38">
        <f>Inputs!$B$17</f>
        <v>250</v>
      </c>
      <c r="E9" s="38">
        <f>Inputs!$B$37</f>
        <v>2</v>
      </c>
      <c r="F9" s="38">
        <f>'Bicycle Users'!F13</f>
        <v>83.417356749059877</v>
      </c>
      <c r="G9" s="38">
        <f>'Bicycle Users'!G13</f>
        <v>160.99549852568558</v>
      </c>
      <c r="H9" s="38">
        <f t="shared" si="0"/>
        <v>244.41285527474545</v>
      </c>
      <c r="I9" s="48">
        <f t="shared" si="1"/>
        <v>558932.01104903559</v>
      </c>
      <c r="J9" s="118">
        <f>ROUND(I9/((1+Inputs!$B$3)^(A9-2015)),0)</f>
        <v>304022</v>
      </c>
      <c r="K9" s="145">
        <f>Inputs!$B$96</f>
        <v>0.28549012098867182</v>
      </c>
      <c r="L9" s="60">
        <f>Inputs!$B$99</f>
        <v>0.25</v>
      </c>
      <c r="M9" s="38">
        <f>Inputs!$B$17</f>
        <v>250</v>
      </c>
      <c r="N9" s="38">
        <f>Inputs!$B$37</f>
        <v>2</v>
      </c>
      <c r="O9" s="38">
        <f>'Pedestrian Users'!G13</f>
        <v>432.45313893591555</v>
      </c>
      <c r="P9" s="38">
        <f>'Pedestrian Users'!H13</f>
        <v>160.99549852568558</v>
      </c>
      <c r="Q9" s="38">
        <f t="shared" si="2"/>
        <v>593.44863746160115</v>
      </c>
      <c r="R9" s="48">
        <f t="shared" si="3"/>
        <v>21177.965413684371</v>
      </c>
      <c r="S9" s="118">
        <f>ROUND(R9/((1+Inputs!$B$3)^(A9-2015)),0)</f>
        <v>11519</v>
      </c>
      <c r="T9" s="173">
        <f t="shared" si="4"/>
        <v>580109.97646271996</v>
      </c>
      <c r="U9" s="57">
        <f>ROUND(T9/((1+Inputs!$B$3)^(A9-2016)),0)</f>
        <v>337629</v>
      </c>
    </row>
    <row r="10" spans="1:21" x14ac:dyDescent="0.25">
      <c r="A10" s="142">
        <v>2025</v>
      </c>
      <c r="B10" s="41">
        <f>Inputs!$B$72</f>
        <v>20.38</v>
      </c>
      <c r="C10" s="47">
        <f>Inputs!$B$74/60</f>
        <v>0.22441958482349836</v>
      </c>
      <c r="D10" s="38">
        <f>Inputs!$B$17</f>
        <v>250</v>
      </c>
      <c r="E10" s="38">
        <f>Inputs!$B$37</f>
        <v>2</v>
      </c>
      <c r="F10" s="38">
        <f>'Bicycle Users'!F14</f>
        <v>84.35166166867748</v>
      </c>
      <c r="G10" s="38">
        <f>'Bicycle Users'!G14</f>
        <v>162.79870702054754</v>
      </c>
      <c r="H10" s="38">
        <f t="shared" si="0"/>
        <v>247.15036868922502</v>
      </c>
      <c r="I10" s="48">
        <f t="shared" si="1"/>
        <v>565192.25409684423</v>
      </c>
      <c r="J10" s="118">
        <f>ROUND(I10/((1+Inputs!$B$3)^(A10-2015)),0)</f>
        <v>287315</v>
      </c>
      <c r="K10" s="145">
        <f>Inputs!$B$96</f>
        <v>0.28549012098867182</v>
      </c>
      <c r="L10" s="60">
        <f>Inputs!$B$99</f>
        <v>0.25</v>
      </c>
      <c r="M10" s="38">
        <f>Inputs!$B$17</f>
        <v>250</v>
      </c>
      <c r="N10" s="38">
        <f>Inputs!$B$37</f>
        <v>2</v>
      </c>
      <c r="O10" s="38">
        <f>'Pedestrian Users'!G14</f>
        <v>437.29677233498575</v>
      </c>
      <c r="P10" s="38">
        <f>'Pedestrian Users'!H14</f>
        <v>162.79870702054754</v>
      </c>
      <c r="Q10" s="38">
        <f t="shared" si="2"/>
        <v>600.09547935553326</v>
      </c>
      <c r="R10" s="48">
        <f t="shared" si="3"/>
        <v>21415.166375745775</v>
      </c>
      <c r="S10" s="118">
        <f>ROUND(R10/((1+Inputs!$B$3)^(A10-2015)),0)</f>
        <v>10886</v>
      </c>
      <c r="T10" s="173">
        <f t="shared" si="4"/>
        <v>586607.42047259002</v>
      </c>
      <c r="U10" s="57">
        <f>ROUND(T10/((1+Inputs!$B$3)^(A10-2016)),0)</f>
        <v>319076</v>
      </c>
    </row>
    <row r="11" spans="1:21" x14ac:dyDescent="0.25">
      <c r="A11" s="142">
        <v>2026</v>
      </c>
      <c r="B11" s="41">
        <f>Inputs!$B$72</f>
        <v>20.38</v>
      </c>
      <c r="C11" s="47">
        <f>Inputs!$B$74/60</f>
        <v>0.22441958482349836</v>
      </c>
      <c r="D11" s="38">
        <f>Inputs!$B$17</f>
        <v>250</v>
      </c>
      <c r="E11" s="38">
        <f>Inputs!$B$37</f>
        <v>2</v>
      </c>
      <c r="F11" s="38">
        <f>'Bicycle Users'!F15</f>
        <v>85.296431145275079</v>
      </c>
      <c r="G11" s="38">
        <f>'Bicycle Users'!G15</f>
        <v>164.62211211038093</v>
      </c>
      <c r="H11" s="38">
        <f t="shared" si="0"/>
        <v>249.918543255656</v>
      </c>
      <c r="I11" s="48">
        <f t="shared" si="1"/>
        <v>571522.61415753269</v>
      </c>
      <c r="J11" s="118">
        <f>ROUND(I11/((1+Inputs!$B$3)^(A11-2015)),0)</f>
        <v>271526</v>
      </c>
      <c r="K11" s="145">
        <f>Inputs!$B$96</f>
        <v>0.28549012098867182</v>
      </c>
      <c r="L11" s="60">
        <f>Inputs!$B$99</f>
        <v>0.25</v>
      </c>
      <c r="M11" s="38">
        <f>Inputs!$B$17</f>
        <v>250</v>
      </c>
      <c r="N11" s="38">
        <f>Inputs!$B$37</f>
        <v>2</v>
      </c>
      <c r="O11" s="38">
        <f>'Pedestrian Users'!G15</f>
        <v>442.19465620050488</v>
      </c>
      <c r="P11" s="38">
        <f>'Pedestrian Users'!H15</f>
        <v>164.62211211038093</v>
      </c>
      <c r="Q11" s="38">
        <f t="shared" si="2"/>
        <v>606.81676831088578</v>
      </c>
      <c r="R11" s="48">
        <f t="shared" si="3"/>
        <v>21655.0240753787</v>
      </c>
      <c r="S11" s="118">
        <f>ROUND(R11/((1+Inputs!$B$3)^(A11-2015)),0)</f>
        <v>10288</v>
      </c>
      <c r="T11" s="173">
        <f t="shared" si="4"/>
        <v>593177.63823291135</v>
      </c>
      <c r="U11" s="57">
        <f>ROUND(T11/((1+Inputs!$B$3)^(A11-2016)),0)</f>
        <v>301541</v>
      </c>
    </row>
    <row r="12" spans="1:21" x14ac:dyDescent="0.25">
      <c r="A12" s="142">
        <v>2027</v>
      </c>
      <c r="B12" s="41">
        <f>Inputs!$B$72</f>
        <v>20.38</v>
      </c>
      <c r="C12" s="47">
        <f>Inputs!$B$74/60</f>
        <v>0.22441958482349836</v>
      </c>
      <c r="D12" s="38">
        <f>Inputs!$B$17</f>
        <v>250</v>
      </c>
      <c r="E12" s="38">
        <f>Inputs!$B$37</f>
        <v>2</v>
      </c>
      <c r="F12" s="38">
        <f>'Bicycle Users'!F16</f>
        <v>86.251782385720048</v>
      </c>
      <c r="G12" s="38">
        <f>'Bicycle Users'!G16</f>
        <v>166.46594000443972</v>
      </c>
      <c r="H12" s="38">
        <f t="shared" si="0"/>
        <v>252.71772239015976</v>
      </c>
      <c r="I12" s="48">
        <f t="shared" si="1"/>
        <v>577923.87656730227</v>
      </c>
      <c r="J12" s="118">
        <f>ROUND(I12/((1+Inputs!$B$3)^(A12-2015)),0)</f>
        <v>256605</v>
      </c>
      <c r="K12" s="145">
        <f>Inputs!$B$96</f>
        <v>0.28549012098867182</v>
      </c>
      <c r="L12" s="60">
        <f>Inputs!$B$99</f>
        <v>0.25</v>
      </c>
      <c r="M12" s="38">
        <f>Inputs!$B$17</f>
        <v>250</v>
      </c>
      <c r="N12" s="38">
        <f>Inputs!$B$37</f>
        <v>2</v>
      </c>
      <c r="O12" s="38">
        <f>'Pedestrian Users'!G16</f>
        <v>447.14739815754854</v>
      </c>
      <c r="P12" s="38">
        <f>'Pedestrian Users'!H16</f>
        <v>166.46594000443972</v>
      </c>
      <c r="Q12" s="38">
        <f t="shared" si="2"/>
        <v>613.61333816198828</v>
      </c>
      <c r="R12" s="48">
        <f t="shared" si="3"/>
        <v>21897.568269016105</v>
      </c>
      <c r="S12" s="118">
        <f>ROUND(R12/((1+Inputs!$B$3)^(A12-2015)),0)</f>
        <v>9723</v>
      </c>
      <c r="T12" s="173">
        <f t="shared" si="4"/>
        <v>599821.44483631838</v>
      </c>
      <c r="U12" s="57">
        <f>ROUND(T12/((1+Inputs!$B$3)^(A12-2016)),0)</f>
        <v>284971</v>
      </c>
    </row>
    <row r="13" spans="1:21" x14ac:dyDescent="0.25">
      <c r="A13" s="142">
        <v>2028</v>
      </c>
      <c r="B13" s="41">
        <f>Inputs!$B$72</f>
        <v>20.38</v>
      </c>
      <c r="C13" s="47">
        <f>Inputs!$B$74/60</f>
        <v>0.22441958482349836</v>
      </c>
      <c r="D13" s="38">
        <f>Inputs!$B$17</f>
        <v>250</v>
      </c>
      <c r="E13" s="38">
        <f>Inputs!$B$37</f>
        <v>2</v>
      </c>
      <c r="F13" s="38">
        <f>'Bicycle Users'!F17</f>
        <v>87.217833909639538</v>
      </c>
      <c r="G13" s="38">
        <f>'Bicycle Users'!G17</f>
        <v>168.33041944560432</v>
      </c>
      <c r="H13" s="38">
        <f t="shared" si="0"/>
        <v>255.54825335524384</v>
      </c>
      <c r="I13" s="48">
        <f t="shared" si="1"/>
        <v>584396.83545840718</v>
      </c>
      <c r="J13" s="118">
        <f>ROUND(I13/((1+Inputs!$B$3)^(A13-2015)),0)</f>
        <v>242504</v>
      </c>
      <c r="K13" s="145">
        <f>Inputs!$B$96</f>
        <v>0.28549012098867182</v>
      </c>
      <c r="L13" s="60">
        <f>Inputs!$B$99</f>
        <v>0.25</v>
      </c>
      <c r="M13" s="38">
        <f>Inputs!$B$17</f>
        <v>250</v>
      </c>
      <c r="N13" s="38">
        <f>Inputs!$B$37</f>
        <v>2</v>
      </c>
      <c r="O13" s="38">
        <f>'Pedestrian Users'!G17</f>
        <v>452.15561263681536</v>
      </c>
      <c r="P13" s="38">
        <f>'Pedestrian Users'!H17</f>
        <v>168.33041944560432</v>
      </c>
      <c r="Q13" s="38">
        <f t="shared" si="2"/>
        <v>620.48603208241968</v>
      </c>
      <c r="R13" s="48">
        <f t="shared" si="3"/>
        <v>22142.829046373863</v>
      </c>
      <c r="S13" s="118">
        <f>ROUND(R13/((1+Inputs!$B$3)^(A13-2015)),0)</f>
        <v>9188</v>
      </c>
      <c r="T13" s="173">
        <f t="shared" si="4"/>
        <v>606539.66450478102</v>
      </c>
      <c r="U13" s="57">
        <f>ROUND(T13/((1+Inputs!$B$3)^(A13-2016)),0)</f>
        <v>269311</v>
      </c>
    </row>
    <row r="14" spans="1:21" x14ac:dyDescent="0.25">
      <c r="A14" s="142">
        <v>2029</v>
      </c>
      <c r="B14" s="41">
        <f>Inputs!$B$72</f>
        <v>20.38</v>
      </c>
      <c r="C14" s="47">
        <f>Inputs!$B$74/60</f>
        <v>0.22441958482349836</v>
      </c>
      <c r="D14" s="38">
        <f>Inputs!$B$17</f>
        <v>250</v>
      </c>
      <c r="E14" s="38">
        <f>Inputs!$B$37</f>
        <v>2</v>
      </c>
      <c r="F14" s="38">
        <f>'Bicycle Users'!F18</f>
        <v>88.194705564123907</v>
      </c>
      <c r="G14" s="38">
        <f>'Bicycle Users'!G18</f>
        <v>170.21578173875915</v>
      </c>
      <c r="H14" s="38">
        <f t="shared" si="0"/>
        <v>258.41048730288304</v>
      </c>
      <c r="I14" s="48">
        <f t="shared" si="1"/>
        <v>590942.29385767365</v>
      </c>
      <c r="J14" s="118">
        <f>ROUND(I14/((1+Inputs!$B$3)^(A14-2015)),0)</f>
        <v>229178</v>
      </c>
      <c r="K14" s="145">
        <f>Inputs!$B$96</f>
        <v>0.28549012098867182</v>
      </c>
      <c r="L14" s="60">
        <f>Inputs!$B$99</f>
        <v>0.25</v>
      </c>
      <c r="M14" s="38">
        <f>Inputs!$B$17</f>
        <v>250</v>
      </c>
      <c r="N14" s="38">
        <f>Inputs!$B$37</f>
        <v>2</v>
      </c>
      <c r="O14" s="38">
        <f>'Pedestrian Users'!G18</f>
        <v>457.21992095085272</v>
      </c>
      <c r="P14" s="38">
        <f>'Pedestrian Users'!H18</f>
        <v>170.21578173875915</v>
      </c>
      <c r="Q14" s="38">
        <f t="shared" si="2"/>
        <v>627.43570268961184</v>
      </c>
      <c r="R14" s="48">
        <f t="shared" si="3"/>
        <v>22390.836834183701</v>
      </c>
      <c r="S14" s="118">
        <f>ROUND(R14/((1+Inputs!$B$3)^(A14-2015)),0)</f>
        <v>8684</v>
      </c>
      <c r="T14" s="173">
        <f t="shared" si="4"/>
        <v>613333.13069185731</v>
      </c>
      <c r="U14" s="57">
        <f>ROUND(T14/((1+Inputs!$B$3)^(A14-2016)),0)</f>
        <v>254511</v>
      </c>
    </row>
    <row r="15" spans="1:21" x14ac:dyDescent="0.25">
      <c r="A15" s="142">
        <v>2030</v>
      </c>
      <c r="B15" s="41">
        <f>Inputs!$B$72</f>
        <v>20.38</v>
      </c>
      <c r="C15" s="47">
        <f>Inputs!$B$74/60</f>
        <v>0.22441958482349836</v>
      </c>
      <c r="D15" s="38">
        <f>Inputs!$B$17</f>
        <v>250</v>
      </c>
      <c r="E15" s="38">
        <f>Inputs!$B$37</f>
        <v>2</v>
      </c>
      <c r="F15" s="38">
        <f>'Bicycle Users'!F19</f>
        <v>89.182518538594778</v>
      </c>
      <c r="G15" s="38">
        <f>'Bicycle Users'!G19</f>
        <v>172.12226077948793</v>
      </c>
      <c r="H15" s="38">
        <f t="shared" si="0"/>
        <v>261.30477931808269</v>
      </c>
      <c r="I15" s="48">
        <f t="shared" si="1"/>
        <v>597561.06378612213</v>
      </c>
      <c r="J15" s="118">
        <f>ROUND(I15/((1+Inputs!$B$3)^(A15-2015)),0)</f>
        <v>216584</v>
      </c>
      <c r="K15" s="145">
        <f>Inputs!$B$96</f>
        <v>0.28549012098867182</v>
      </c>
      <c r="L15" s="60">
        <f>Inputs!$B$99</f>
        <v>0.25</v>
      </c>
      <c r="M15" s="38">
        <f>Inputs!$B$17</f>
        <v>250</v>
      </c>
      <c r="N15" s="38">
        <f>Inputs!$B$37</f>
        <v>2</v>
      </c>
      <c r="O15" s="38">
        <f>'Pedestrian Users'!G19</f>
        <v>462.34095137113593</v>
      </c>
      <c r="P15" s="38">
        <f>'Pedestrian Users'!H19</f>
        <v>172.12226077948793</v>
      </c>
      <c r="Q15" s="38">
        <f t="shared" si="2"/>
        <v>634.4632121506238</v>
      </c>
      <c r="R15" s="48">
        <f t="shared" si="3"/>
        <v>22641.62239996787</v>
      </c>
      <c r="S15" s="118">
        <f>ROUND(R15/((1+Inputs!$B$3)^(A15-2015)),0)</f>
        <v>8206</v>
      </c>
      <c r="T15" s="173">
        <f t="shared" si="4"/>
        <v>620202.68618609</v>
      </c>
      <c r="U15" s="57">
        <f>ROUND(T15/((1+Inputs!$B$3)^(A15-2016)),0)</f>
        <v>240525</v>
      </c>
    </row>
    <row r="16" spans="1:21" x14ac:dyDescent="0.25">
      <c r="A16" s="142">
        <v>2031</v>
      </c>
      <c r="B16" s="41">
        <f>Inputs!$B$72</f>
        <v>20.38</v>
      </c>
      <c r="C16" s="47">
        <f>Inputs!$B$74/60</f>
        <v>0.22441958482349836</v>
      </c>
      <c r="D16" s="38">
        <f>Inputs!$B$17</f>
        <v>250</v>
      </c>
      <c r="E16" s="38">
        <f>Inputs!$B$37</f>
        <v>2</v>
      </c>
      <c r="F16" s="38">
        <f>'Bicycle Users'!F20</f>
        <v>90.181395379839643</v>
      </c>
      <c r="G16" s="38">
        <f>'Bicycle Users'!G20</f>
        <v>174.05009308309053</v>
      </c>
      <c r="H16" s="38">
        <f t="shared" si="0"/>
        <v>264.2314884629302</v>
      </c>
      <c r="I16" s="48">
        <f t="shared" si="1"/>
        <v>604253.96635970555</v>
      </c>
      <c r="J16" s="118">
        <f>ROUND(I16/((1+Inputs!$B$3)^(A16-2015)),0)</f>
        <v>204682</v>
      </c>
      <c r="K16" s="145">
        <f>Inputs!$B$96</f>
        <v>0.28549012098867182</v>
      </c>
      <c r="L16" s="60">
        <f>Inputs!$B$99</f>
        <v>0.25</v>
      </c>
      <c r="M16" s="38">
        <f>Inputs!$B$17</f>
        <v>250</v>
      </c>
      <c r="N16" s="38">
        <f>Inputs!$B$37</f>
        <v>2</v>
      </c>
      <c r="O16" s="38">
        <f>'Pedestrian Users'!G20</f>
        <v>467.51933920601061</v>
      </c>
      <c r="P16" s="38">
        <f>'Pedestrian Users'!H20</f>
        <v>174.05009308309053</v>
      </c>
      <c r="Q16" s="38">
        <f t="shared" si="2"/>
        <v>641.56943228910109</v>
      </c>
      <c r="R16" s="48">
        <f t="shared" si="3"/>
        <v>22895.216855856121</v>
      </c>
      <c r="S16" s="118">
        <f>ROUND(R16/((1+Inputs!$B$3)^(A16-2015)),0)</f>
        <v>7755</v>
      </c>
      <c r="T16" s="173">
        <f t="shared" si="4"/>
        <v>627149.18321556167</v>
      </c>
      <c r="U16" s="57">
        <f>ROUND(T16/((1+Inputs!$B$3)^(A16-2016)),0)</f>
        <v>227308</v>
      </c>
    </row>
    <row r="17" spans="1:21" x14ac:dyDescent="0.25">
      <c r="A17" s="142">
        <v>2032</v>
      </c>
      <c r="B17" s="41">
        <f>Inputs!$B$72</f>
        <v>20.38</v>
      </c>
      <c r="C17" s="47">
        <f>Inputs!$B$74/60</f>
        <v>0.22441958482349836</v>
      </c>
      <c r="D17" s="38">
        <f>Inputs!$B$17</f>
        <v>250</v>
      </c>
      <c r="E17" s="38">
        <f>Inputs!$B$37</f>
        <v>2</v>
      </c>
      <c r="F17" s="38">
        <f>'Bicycle Users'!F21</f>
        <v>91.191460007214857</v>
      </c>
      <c r="G17" s="38">
        <f>'Bicycle Users'!G21</f>
        <v>175.99951781392468</v>
      </c>
      <c r="H17" s="38">
        <f t="shared" si="0"/>
        <v>267.19097782113954</v>
      </c>
      <c r="I17" s="48">
        <f t="shared" si="1"/>
        <v>611021.83189117583</v>
      </c>
      <c r="J17" s="118">
        <f>ROUND(I17/((1+Inputs!$B$3)^(A17-2015)),0)</f>
        <v>193434</v>
      </c>
      <c r="K17" s="145">
        <f>Inputs!$B$96</f>
        <v>0.28549012098867182</v>
      </c>
      <c r="L17" s="60">
        <f>Inputs!$B$99</f>
        <v>0.25</v>
      </c>
      <c r="M17" s="38">
        <f>Inputs!$B$17</f>
        <v>250</v>
      </c>
      <c r="N17" s="38">
        <f>Inputs!$B$37</f>
        <v>2</v>
      </c>
      <c r="O17" s="38">
        <f>'Pedestrian Users'!G21</f>
        <v>472.75572687950842</v>
      </c>
      <c r="P17" s="38">
        <f>'Pedestrian Users'!H21</f>
        <v>175.99951781392468</v>
      </c>
      <c r="Q17" s="38">
        <f t="shared" si="2"/>
        <v>648.75524469343304</v>
      </c>
      <c r="R17" s="48">
        <f t="shared" si="3"/>
        <v>23151.651662445449</v>
      </c>
      <c r="S17" s="118">
        <f>ROUND(R17/((1+Inputs!$B$3)^(A17-2015)),0)</f>
        <v>7329</v>
      </c>
      <c r="T17" s="173">
        <f t="shared" si="4"/>
        <v>634173.48355362122</v>
      </c>
      <c r="U17" s="57">
        <f>ROUND(T17/((1+Inputs!$B$3)^(A17-2016)),0)</f>
        <v>214816</v>
      </c>
    </row>
    <row r="18" spans="1:21" x14ac:dyDescent="0.25">
      <c r="A18" s="142">
        <v>2033</v>
      </c>
      <c r="B18" s="41">
        <f>Inputs!$B$72</f>
        <v>20.38</v>
      </c>
      <c r="C18" s="47">
        <f>Inputs!$B$74/60</f>
        <v>0.22441958482349836</v>
      </c>
      <c r="D18" s="38">
        <f>Inputs!$B$17</f>
        <v>250</v>
      </c>
      <c r="E18" s="38">
        <f>Inputs!$B$37</f>
        <v>2</v>
      </c>
      <c r="F18" s="38">
        <f>'Bicycle Users'!F22</f>
        <v>92.212837728018897</v>
      </c>
      <c r="G18" s="38">
        <f>'Bicycle Users'!G22</f>
        <v>177.97077681507648</v>
      </c>
      <c r="H18" s="38">
        <f t="shared" si="0"/>
        <v>270.18361454309536</v>
      </c>
      <c r="I18" s="48">
        <f t="shared" si="1"/>
        <v>617865.49999309168</v>
      </c>
      <c r="J18" s="118">
        <f>ROUND(I18/((1+Inputs!$B$3)^(A18-2015)),0)</f>
        <v>182804</v>
      </c>
      <c r="K18" s="145">
        <f>Inputs!$B$96</f>
        <v>0.28549012098867182</v>
      </c>
      <c r="L18" s="60">
        <f>Inputs!$B$99</f>
        <v>0.25</v>
      </c>
      <c r="M18" s="38">
        <f>Inputs!$B$17</f>
        <v>250</v>
      </c>
      <c r="N18" s="38">
        <f>Inputs!$B$37</f>
        <v>2</v>
      </c>
      <c r="O18" s="38">
        <f>'Pedestrian Users'!G22</f>
        <v>478.05076401104515</v>
      </c>
      <c r="P18" s="38">
        <f>'Pedestrian Users'!H22</f>
        <v>177.97077681507648</v>
      </c>
      <c r="Q18" s="38">
        <f t="shared" si="2"/>
        <v>656.02154082612162</v>
      </c>
      <c r="R18" s="48">
        <f t="shared" si="3"/>
        <v>23410.958632703045</v>
      </c>
      <c r="S18" s="118">
        <f>ROUND(R18/((1+Inputs!$B$3)^(A18-2015)),0)</f>
        <v>6926</v>
      </c>
      <c r="T18" s="173">
        <f t="shared" si="4"/>
        <v>641276.45862579474</v>
      </c>
      <c r="U18" s="57">
        <f>ROUND(T18/((1+Inputs!$B$3)^(A18-2016)),0)</f>
        <v>203012</v>
      </c>
    </row>
    <row r="19" spans="1:21" x14ac:dyDescent="0.25">
      <c r="A19" s="142">
        <v>2034</v>
      </c>
      <c r="B19" s="41">
        <f>Inputs!$B$72</f>
        <v>20.38</v>
      </c>
      <c r="C19" s="47">
        <f>Inputs!$B$74/60</f>
        <v>0.22441958482349836</v>
      </c>
      <c r="D19" s="38">
        <f>Inputs!$B$17</f>
        <v>250</v>
      </c>
      <c r="E19" s="38">
        <f>Inputs!$B$37</f>
        <v>2</v>
      </c>
      <c r="F19" s="38">
        <f>'Bicycle Users'!F23</f>
        <v>93.245655253037853</v>
      </c>
      <c r="G19" s="38">
        <f>'Bicycle Users'!G23</f>
        <v>179.96411463836307</v>
      </c>
      <c r="H19" s="38">
        <f t="shared" si="0"/>
        <v>273.20976989140092</v>
      </c>
      <c r="I19" s="48">
        <f t="shared" si="1"/>
        <v>624785.81968197995</v>
      </c>
      <c r="J19" s="118">
        <f>ROUND(I19/((1+Inputs!$B$3)^(A19-2015)),0)</f>
        <v>172758</v>
      </c>
      <c r="K19" s="145">
        <f>Inputs!$B$96</f>
        <v>0.28549012098867182</v>
      </c>
      <c r="L19" s="60">
        <f>Inputs!$B$99</f>
        <v>0.25</v>
      </c>
      <c r="M19" s="38">
        <f>Inputs!$B$17</f>
        <v>250</v>
      </c>
      <c r="N19" s="38">
        <f>Inputs!$B$37</f>
        <v>2</v>
      </c>
      <c r="O19" s="38">
        <f>'Pedestrian Users'!G23</f>
        <v>483.40510749601185</v>
      </c>
      <c r="P19" s="38">
        <f>'Pedestrian Users'!H23</f>
        <v>179.96411463836307</v>
      </c>
      <c r="Q19" s="38">
        <f t="shared" si="2"/>
        <v>663.36922213437492</v>
      </c>
      <c r="R19" s="48">
        <f t="shared" si="3"/>
        <v>23673.169935912974</v>
      </c>
      <c r="S19" s="118">
        <f>ROUND(R19/((1+Inputs!$B$3)^(A19-2015)),0)</f>
        <v>6546</v>
      </c>
      <c r="T19" s="173">
        <f t="shared" si="4"/>
        <v>648458.98961789289</v>
      </c>
      <c r="U19" s="57">
        <f>ROUND(T19/((1+Inputs!$B$3)^(A19-2016)),0)</f>
        <v>191856</v>
      </c>
    </row>
    <row r="20" spans="1:21" x14ac:dyDescent="0.25">
      <c r="A20" s="142">
        <v>2035</v>
      </c>
      <c r="B20" s="41">
        <f>Inputs!$B$72</f>
        <v>20.38</v>
      </c>
      <c r="C20" s="47">
        <f>Inputs!$B$74/60</f>
        <v>0.22441958482349836</v>
      </c>
      <c r="D20" s="38">
        <f>Inputs!$B$17</f>
        <v>250</v>
      </c>
      <c r="E20" s="38">
        <f>Inputs!$B$37</f>
        <v>2</v>
      </c>
      <c r="F20" s="38">
        <f>'Bicycle Users'!F24</f>
        <v>94.290040712264982</v>
      </c>
      <c r="G20" s="38">
        <f>'Bicycle Users'!G24</f>
        <v>181.97977857467143</v>
      </c>
      <c r="H20" s="38">
        <f t="shared" si="0"/>
        <v>276.26981928693641</v>
      </c>
      <c r="I20" s="48">
        <f t="shared" si="1"/>
        <v>631783.64948366291</v>
      </c>
      <c r="J20" s="118">
        <f>ROUND(I20/((1+Inputs!$B$3)^(A20-2015)),0)</f>
        <v>163265</v>
      </c>
      <c r="K20" s="145">
        <f>Inputs!$B$96</f>
        <v>0.28549012098867182</v>
      </c>
      <c r="L20" s="60">
        <f>Inputs!$B$99</f>
        <v>0.25</v>
      </c>
      <c r="M20" s="38">
        <f>Inputs!$B$17</f>
        <v>250</v>
      </c>
      <c r="N20" s="38">
        <f>Inputs!$B$37</f>
        <v>2</v>
      </c>
      <c r="O20" s="38">
        <f>'Pedestrian Users'!G24</f>
        <v>488.81942158726827</v>
      </c>
      <c r="P20" s="38">
        <f>'Pedestrian Users'!H24</f>
        <v>181.97977857467143</v>
      </c>
      <c r="Q20" s="38">
        <f t="shared" si="2"/>
        <v>670.79920016193967</v>
      </c>
      <c r="R20" s="48">
        <f t="shared" si="3"/>
        <v>23938.318101667057</v>
      </c>
      <c r="S20" s="118">
        <f>ROUND(R20/((1+Inputs!$B$3)^(A20-2015)),0)</f>
        <v>6186</v>
      </c>
      <c r="T20" s="173">
        <f t="shared" si="4"/>
        <v>655721.96758533001</v>
      </c>
      <c r="U20" s="57">
        <f>ROUND(T20/((1+Inputs!$B$3)^(A20-2016)),0)</f>
        <v>181313</v>
      </c>
    </row>
    <row r="21" spans="1:21" x14ac:dyDescent="0.25">
      <c r="A21" s="142">
        <v>2036</v>
      </c>
      <c r="B21" s="41">
        <f>Inputs!$B$72</f>
        <v>20.38</v>
      </c>
      <c r="C21" s="47">
        <f>Inputs!$B$74/60</f>
        <v>0.22441958482349836</v>
      </c>
      <c r="D21" s="38">
        <f>Inputs!$B$17</f>
        <v>250</v>
      </c>
      <c r="E21" s="38">
        <f>Inputs!$B$37</f>
        <v>2</v>
      </c>
      <c r="F21" s="38">
        <f>'Bicycle Users'!F25</f>
        <v>95.346123670796345</v>
      </c>
      <c r="G21" s="38">
        <f>'Bicycle Users'!G25</f>
        <v>184.01801868463696</v>
      </c>
      <c r="H21" s="38">
        <f t="shared" si="0"/>
        <v>279.36414235543327</v>
      </c>
      <c r="I21" s="48">
        <f t="shared" si="1"/>
        <v>638859.85753976624</v>
      </c>
      <c r="J21" s="118">
        <f>ROUND(I21/((1+Inputs!$B$3)^(A21-2015)),0)</f>
        <v>154293</v>
      </c>
      <c r="K21" s="145">
        <f>Inputs!$B$96</f>
        <v>0.28549012098867182</v>
      </c>
      <c r="L21" s="60">
        <f>Inputs!$B$99</f>
        <v>0.25</v>
      </c>
      <c r="M21" s="38">
        <f>Inputs!$B$17</f>
        <v>250</v>
      </c>
      <c r="N21" s="38">
        <f>Inputs!$B$37</f>
        <v>2</v>
      </c>
      <c r="O21" s="38">
        <f>'Pedestrian Users'!G25</f>
        <v>494.29437797754929</v>
      </c>
      <c r="P21" s="38">
        <f>'Pedestrian Users'!H25</f>
        <v>184.01801868463696</v>
      </c>
      <c r="Q21" s="38">
        <f t="shared" si="2"/>
        <v>678.3123966621863</v>
      </c>
      <c r="R21" s="48">
        <f t="shared" si="3"/>
        <v>24206.436023900438</v>
      </c>
      <c r="S21" s="118">
        <f>ROUND(R21/((1+Inputs!$B$3)^(A21-2015)),0)</f>
        <v>5846</v>
      </c>
      <c r="T21" s="173">
        <f t="shared" si="4"/>
        <v>663066.29356366664</v>
      </c>
      <c r="U21" s="57">
        <f>ROUND(T21/((1+Inputs!$B$3)^(A21-2016)),0)</f>
        <v>171349</v>
      </c>
    </row>
    <row r="22" spans="1:21" x14ac:dyDescent="0.25">
      <c r="A22" s="142">
        <v>2037</v>
      </c>
      <c r="B22" s="41">
        <f>Inputs!$B$72</f>
        <v>20.38</v>
      </c>
      <c r="C22" s="47">
        <f>Inputs!$B$74/60</f>
        <v>0.22441958482349836</v>
      </c>
      <c r="D22" s="38">
        <f>Inputs!$B$17</f>
        <v>250</v>
      </c>
      <c r="E22" s="38">
        <f>Inputs!$B$37</f>
        <v>2</v>
      </c>
      <c r="F22" s="38">
        <f>'Bicycle Users'!F26</f>
        <v>96.414035144904489</v>
      </c>
      <c r="G22" s="38">
        <f>'Bicycle Users'!G26</f>
        <v>186.07908782966567</v>
      </c>
      <c r="H22" s="38">
        <f t="shared" si="0"/>
        <v>282.49312297457016</v>
      </c>
      <c r="I22" s="48">
        <f t="shared" si="1"/>
        <v>646015.32171541976</v>
      </c>
      <c r="J22" s="118">
        <f>ROUND(I22/((1+Inputs!$B$3)^(A22-2015)),0)</f>
        <v>145814</v>
      </c>
      <c r="K22" s="145">
        <f>Inputs!$B$96</f>
        <v>0.28549012098867182</v>
      </c>
      <c r="L22" s="60">
        <f>Inputs!$B$99</f>
        <v>0.25</v>
      </c>
      <c r="M22" s="38">
        <f>Inputs!$B$17</f>
        <v>250</v>
      </c>
      <c r="N22" s="38">
        <f>Inputs!$B$37</f>
        <v>2</v>
      </c>
      <c r="O22" s="38">
        <f>'Pedestrian Users'!G26</f>
        <v>499.83065588279413</v>
      </c>
      <c r="P22" s="38">
        <f>'Pedestrian Users'!H26</f>
        <v>186.07908782966567</v>
      </c>
      <c r="Q22" s="38">
        <f t="shared" si="2"/>
        <v>685.90974371245977</v>
      </c>
      <c r="R22" s="48">
        <f t="shared" si="3"/>
        <v>24477.55696497238</v>
      </c>
      <c r="S22" s="118">
        <f>ROUND(R22/((1+Inputs!$B$3)^(A22-2015)),0)</f>
        <v>5525</v>
      </c>
      <c r="T22" s="173">
        <f t="shared" si="4"/>
        <v>670492.87868039217</v>
      </c>
      <c r="U22" s="57">
        <f>ROUND(T22/((1+Inputs!$B$3)^(A22-2016)),0)</f>
        <v>161933</v>
      </c>
    </row>
    <row r="23" spans="1:21" x14ac:dyDescent="0.25">
      <c r="A23" s="142">
        <v>2038</v>
      </c>
      <c r="B23" s="41">
        <f>Inputs!$B$72</f>
        <v>20.38</v>
      </c>
      <c r="C23" s="47">
        <f>Inputs!$B$74/60</f>
        <v>0.22441958482349836</v>
      </c>
      <c r="D23" s="38">
        <f>Inputs!$B$17</f>
        <v>250</v>
      </c>
      <c r="E23" s="38">
        <f>Inputs!$B$37</f>
        <v>2</v>
      </c>
      <c r="F23" s="38">
        <f>'Bicycle Users'!F27</f>
        <v>97.493907618292155</v>
      </c>
      <c r="G23" s="38">
        <f>'Bicycle Users'!G27</f>
        <v>188.16324170330387</v>
      </c>
      <c r="H23" s="38">
        <f t="shared" si="0"/>
        <v>285.65714932159602</v>
      </c>
      <c r="I23" s="48">
        <f t="shared" si="1"/>
        <v>653250.9297081636</v>
      </c>
      <c r="J23" s="118">
        <f>ROUND(I23/((1+Inputs!$B$3)^(A23-2015)),0)</f>
        <v>137801</v>
      </c>
      <c r="K23" s="145">
        <f>Inputs!$B$96</f>
        <v>0.28549012098867182</v>
      </c>
      <c r="L23" s="60">
        <f>Inputs!$B$99</f>
        <v>0.25</v>
      </c>
      <c r="M23" s="38">
        <f>Inputs!$B$17</f>
        <v>250</v>
      </c>
      <c r="N23" s="38">
        <f>Inputs!$B$37</f>
        <v>2</v>
      </c>
      <c r="O23" s="38">
        <f>'Pedestrian Users'!G27</f>
        <v>505.42894212640908</v>
      </c>
      <c r="P23" s="38">
        <f>'Pedestrian Users'!H27</f>
        <v>188.16324170330387</v>
      </c>
      <c r="Q23" s="38">
        <f t="shared" si="2"/>
        <v>693.59218382971289</v>
      </c>
      <c r="R23" s="48">
        <f t="shared" si="3"/>
        <v>24751.71455979273</v>
      </c>
      <c r="S23" s="118">
        <f>ROUND(R23/((1+Inputs!$B$3)^(A23-2015)),0)</f>
        <v>5221</v>
      </c>
      <c r="T23" s="173">
        <f t="shared" si="4"/>
        <v>678002.64426795638</v>
      </c>
      <c r="U23" s="57">
        <f>ROUND(T23/((1+Inputs!$B$3)^(A23-2016)),0)</f>
        <v>153034</v>
      </c>
    </row>
    <row r="24" spans="1:21" x14ac:dyDescent="0.25">
      <c r="A24" s="142">
        <v>2039</v>
      </c>
      <c r="B24" s="41">
        <f>Inputs!$B$72</f>
        <v>20.38</v>
      </c>
      <c r="C24" s="47">
        <f>Inputs!$B$74/60</f>
        <v>0.22441958482349836</v>
      </c>
      <c r="D24" s="38">
        <f>Inputs!$B$17</f>
        <v>250</v>
      </c>
      <c r="E24" s="38">
        <f>Inputs!$B$37</f>
        <v>2</v>
      </c>
      <c r="F24" s="38">
        <f>'Bicycle Users'!F28</f>
        <v>98.585875058528032</v>
      </c>
      <c r="G24" s="38">
        <f>'Bicycle Users'!G28</f>
        <v>190.27073886295912</v>
      </c>
      <c r="H24" s="38">
        <f t="shared" si="0"/>
        <v>288.85661392148717</v>
      </c>
      <c r="I24" s="48">
        <f t="shared" si="1"/>
        <v>660567.5791580755</v>
      </c>
      <c r="J24" s="118">
        <f>ROUND(I24/((1+Inputs!$B$3)^(A24-2015)),0)</f>
        <v>130229</v>
      </c>
      <c r="K24" s="145">
        <f>Inputs!$B$96</f>
        <v>0.28549012098867182</v>
      </c>
      <c r="L24" s="60">
        <f>Inputs!$B$99</f>
        <v>0.25</v>
      </c>
      <c r="M24" s="38">
        <f>Inputs!$B$17</f>
        <v>250</v>
      </c>
      <c r="N24" s="38">
        <f>Inputs!$B$37</f>
        <v>2</v>
      </c>
      <c r="O24" s="38">
        <f>'Pedestrian Users'!G28</f>
        <v>511.08993122447407</v>
      </c>
      <c r="P24" s="38">
        <f>'Pedestrian Users'!H28</f>
        <v>190.27073886295912</v>
      </c>
      <c r="Q24" s="38">
        <f t="shared" si="2"/>
        <v>701.36067008743316</v>
      </c>
      <c r="R24" s="48">
        <f t="shared" si="3"/>
        <v>25028.942819994656</v>
      </c>
      <c r="S24" s="118">
        <f>ROUND(R24/((1+Inputs!$B$3)^(A24-2015)),0)</f>
        <v>4934</v>
      </c>
      <c r="T24" s="173">
        <f t="shared" si="4"/>
        <v>685596.52197807014</v>
      </c>
      <c r="U24" s="57">
        <f>ROUND(T24/((1+Inputs!$B$3)^(A24-2016)),0)</f>
        <v>144624</v>
      </c>
    </row>
    <row r="25" spans="1:21" x14ac:dyDescent="0.25">
      <c r="A25" s="142">
        <v>2040</v>
      </c>
      <c r="B25" s="41">
        <f>Inputs!$B$72</f>
        <v>20.38</v>
      </c>
      <c r="C25" s="47">
        <f>Inputs!$B$74/60</f>
        <v>0.22441958482349836</v>
      </c>
      <c r="D25" s="38">
        <f>Inputs!$B$17</f>
        <v>250</v>
      </c>
      <c r="E25" s="38">
        <f>Inputs!$B$37</f>
        <v>2</v>
      </c>
      <c r="F25" s="38">
        <f>'Bicycle Users'!F29</f>
        <v>99.690072933666613</v>
      </c>
      <c r="G25" s="38">
        <f>'Bicycle Users'!G29</f>
        <v>192.40184076197659</v>
      </c>
      <c r="H25" s="38">
        <f t="shared" si="0"/>
        <v>292.0919136956432</v>
      </c>
      <c r="I25" s="48">
        <f t="shared" si="1"/>
        <v>667966.17775913025</v>
      </c>
      <c r="J25" s="118">
        <f>ROUND(I25/((1+Inputs!$B$3)^(A25-2015)),0)</f>
        <v>123072</v>
      </c>
      <c r="K25" s="145">
        <f>Inputs!$B$96</f>
        <v>0.28549012098867182</v>
      </c>
      <c r="L25" s="60">
        <f>Inputs!$B$99</f>
        <v>0.25</v>
      </c>
      <c r="M25" s="38">
        <f>Inputs!$B$17</f>
        <v>250</v>
      </c>
      <c r="N25" s="38">
        <f>Inputs!$B$37</f>
        <v>2</v>
      </c>
      <c r="O25" s="38">
        <f>'Pedestrian Users'!G29</f>
        <v>516.81432547190309</v>
      </c>
      <c r="P25" s="38">
        <f>'Pedestrian Users'!H29</f>
        <v>192.40184076197659</v>
      </c>
      <c r="Q25" s="38">
        <f t="shared" si="2"/>
        <v>709.21616623387968</v>
      </c>
      <c r="R25" s="48">
        <f t="shared" si="3"/>
        <v>25309.276138154037</v>
      </c>
      <c r="S25" s="118">
        <f>ROUND(R25/((1+Inputs!$B$3)^(A25-2015)),0)</f>
        <v>4663</v>
      </c>
      <c r="T25" s="173">
        <f t="shared" si="4"/>
        <v>693275.45389728434</v>
      </c>
      <c r="U25" s="57">
        <f>ROUND(T25/((1+Inputs!$B$3)^(A25-2016)),0)</f>
        <v>136677</v>
      </c>
    </row>
    <row r="26" spans="1:21" x14ac:dyDescent="0.25">
      <c r="A26" s="142">
        <v>2041</v>
      </c>
      <c r="B26" s="41">
        <f>Inputs!$B$72</f>
        <v>20.38</v>
      </c>
      <c r="C26" s="47">
        <f>Inputs!$B$74/60</f>
        <v>0.22441958482349836</v>
      </c>
      <c r="D26" s="38">
        <f>Inputs!$B$17</f>
        <v>250</v>
      </c>
      <c r="E26" s="38">
        <f>Inputs!$B$37</f>
        <v>2</v>
      </c>
      <c r="F26" s="38">
        <f>'Bicycle Users'!F30</f>
        <v>100.80663822905416</v>
      </c>
      <c r="G26" s="38">
        <f>'Bicycle Users'!G30</f>
        <v>194.55681178207453</v>
      </c>
      <c r="H26" s="38">
        <f t="shared" si="0"/>
        <v>295.36345001112869</v>
      </c>
      <c r="I26" s="48">
        <f t="shared" si="1"/>
        <v>675447.64337180741</v>
      </c>
      <c r="J26" s="118">
        <f>ROUND(I26/((1+Inputs!$B$3)^(A26-2015)),0)</f>
        <v>116309</v>
      </c>
      <c r="K26" s="145">
        <f>Inputs!$B$96</f>
        <v>0.28549012098867182</v>
      </c>
      <c r="L26" s="60">
        <f>Inputs!$B$99</f>
        <v>0.25</v>
      </c>
      <c r="M26" s="38">
        <f>Inputs!$B$17</f>
        <v>250</v>
      </c>
      <c r="N26" s="38">
        <f>Inputs!$B$37</f>
        <v>2</v>
      </c>
      <c r="O26" s="38">
        <f>'Pedestrian Users'!G30</f>
        <v>522.60283502957009</v>
      </c>
      <c r="P26" s="38">
        <f>'Pedestrian Users'!H30</f>
        <v>194.55681178207453</v>
      </c>
      <c r="Q26" s="38">
        <f t="shared" si="2"/>
        <v>717.15964681164462</v>
      </c>
      <c r="R26" s="48">
        <f t="shared" si="3"/>
        <v>25592.7492920562</v>
      </c>
      <c r="S26" s="118">
        <f>ROUND(R26/((1+Inputs!$B$3)^(A26-2015)),0)</f>
        <v>4407</v>
      </c>
      <c r="T26" s="173">
        <f t="shared" si="4"/>
        <v>701040.3926638636</v>
      </c>
      <c r="U26" s="57">
        <f>ROUND(T26/((1+Inputs!$B$3)^(A26-2016)),0)</f>
        <v>129166</v>
      </c>
    </row>
    <row r="27" spans="1:21" x14ac:dyDescent="0.25">
      <c r="A27" s="142">
        <v>2042</v>
      </c>
      <c r="B27" s="41">
        <f>Inputs!$B$72</f>
        <v>20.38</v>
      </c>
      <c r="C27" s="47">
        <f>Inputs!$B$74/60</f>
        <v>0.22441958482349836</v>
      </c>
      <c r="D27" s="38">
        <f>Inputs!$B$17</f>
        <v>250</v>
      </c>
      <c r="E27" s="38">
        <f>Inputs!$B$37</f>
        <v>2</v>
      </c>
      <c r="F27" s="38">
        <f>'Bicycle Users'!F31</f>
        <v>101.93570946432293</v>
      </c>
      <c r="G27" s="38">
        <f>'Bicycle Users'!G31</f>
        <v>196.73591926614327</v>
      </c>
      <c r="H27" s="38">
        <f t="shared" si="0"/>
        <v>298.67162873046618</v>
      </c>
      <c r="I27" s="48">
        <f t="shared" si="1"/>
        <v>683012.90413695993</v>
      </c>
      <c r="J27" s="118">
        <f>ROUND(I27/((1+Inputs!$B$3)^(A27-2015)),0)</f>
        <v>109918</v>
      </c>
      <c r="K27" s="145">
        <f>Inputs!$B$96</f>
        <v>0.28549012098867182</v>
      </c>
      <c r="L27" s="60">
        <f>Inputs!$B$99</f>
        <v>0.25</v>
      </c>
      <c r="M27" s="38">
        <f>Inputs!$B$17</f>
        <v>250</v>
      </c>
      <c r="N27" s="38">
        <f>Inputs!$B$37</f>
        <v>2</v>
      </c>
      <c r="O27" s="38">
        <f>'Pedestrian Users'!G31</f>
        <v>528.45617801241076</v>
      </c>
      <c r="P27" s="38">
        <f>'Pedestrian Users'!H31</f>
        <v>196.73591926614327</v>
      </c>
      <c r="Q27" s="38">
        <f t="shared" si="2"/>
        <v>725.192097278554</v>
      </c>
      <c r="R27" s="48">
        <f t="shared" si="3"/>
        <v>25879.397449010379</v>
      </c>
      <c r="S27" s="118">
        <f>ROUND(R27/((1+Inputs!$B$3)^(A27-2015)),0)</f>
        <v>4165</v>
      </c>
      <c r="T27" s="173">
        <f t="shared" si="4"/>
        <v>708892.30158597033</v>
      </c>
      <c r="U27" s="57">
        <f>ROUND(T27/((1+Inputs!$B$3)^(A27-2016)),0)</f>
        <v>122068</v>
      </c>
    </row>
    <row r="28" spans="1:21" x14ac:dyDescent="0.25">
      <c r="A28" s="142">
        <v>2043</v>
      </c>
      <c r="B28" s="41">
        <f>Inputs!$B$72</f>
        <v>20.38</v>
      </c>
      <c r="C28" s="47">
        <f>Inputs!$B$74/60</f>
        <v>0.22441958482349836</v>
      </c>
      <c r="D28" s="38">
        <f>Inputs!$B$17</f>
        <v>250</v>
      </c>
      <c r="E28" s="38">
        <f>Inputs!$B$37</f>
        <v>2</v>
      </c>
      <c r="F28" s="38">
        <f>'Bicycle Users'!F32</f>
        <v>103.07742671057576</v>
      </c>
      <c r="G28" s="38">
        <f>'Bicycle Users'!G32</f>
        <v>198.93943355141124</v>
      </c>
      <c r="H28" s="38">
        <f t="shared" si="0"/>
        <v>302.01686026198701</v>
      </c>
      <c r="I28" s="48">
        <f t="shared" si="1"/>
        <v>690662.89859095786</v>
      </c>
      <c r="J28" s="118">
        <f>ROUND(I28/((1+Inputs!$B$3)^(A28-2015)),0)</f>
        <v>103877</v>
      </c>
      <c r="K28" s="145">
        <f>Inputs!$B$96</f>
        <v>0.28549012098867182</v>
      </c>
      <c r="L28" s="60">
        <f>Inputs!$B$99</f>
        <v>0.25</v>
      </c>
      <c r="M28" s="38">
        <f>Inputs!$B$17</f>
        <v>250</v>
      </c>
      <c r="N28" s="38">
        <f>Inputs!$B$37</f>
        <v>2</v>
      </c>
      <c r="O28" s="38">
        <f>'Pedestrian Users'!G32</f>
        <v>534.37508057851096</v>
      </c>
      <c r="P28" s="38">
        <f>'Pedestrian Users'!H32</f>
        <v>198.93943355141124</v>
      </c>
      <c r="Q28" s="38">
        <f t="shared" si="2"/>
        <v>733.31451412992215</v>
      </c>
      <c r="R28" s="48">
        <f t="shared" si="3"/>
        <v>26169.256170212571</v>
      </c>
      <c r="S28" s="118">
        <f>ROUND(R28/((1+Inputs!$B$3)^(A28-2015)),0)</f>
        <v>3936</v>
      </c>
      <c r="T28" s="173">
        <f t="shared" si="4"/>
        <v>716832.15476117039</v>
      </c>
      <c r="U28" s="57">
        <f>ROUND(T28/((1+Inputs!$B$3)^(A28-2016)),0)</f>
        <v>115360</v>
      </c>
    </row>
    <row r="29" spans="1:21" x14ac:dyDescent="0.25">
      <c r="A29" s="142">
        <v>2044</v>
      </c>
      <c r="B29" s="41">
        <f>Inputs!$B$72</f>
        <v>20.38</v>
      </c>
      <c r="C29" s="47">
        <f>Inputs!$B$74/60</f>
        <v>0.22441958482349836</v>
      </c>
      <c r="D29" s="38">
        <f>Inputs!$B$17</f>
        <v>250</v>
      </c>
      <c r="E29" s="38">
        <f>Inputs!$B$37</f>
        <v>2</v>
      </c>
      <c r="F29" s="38">
        <f>'Bicycle Users'!F33</f>
        <v>104.23193160776312</v>
      </c>
      <c r="G29" s="38">
        <f>'Bicycle Users'!G33</f>
        <v>201.16762800298284</v>
      </c>
      <c r="H29" s="38">
        <f t="shared" si="0"/>
        <v>305.39955961074594</v>
      </c>
      <c r="I29" s="48">
        <f t="shared" si="1"/>
        <v>698398.57578212174</v>
      </c>
      <c r="J29" s="118">
        <f>ROUND(I29/((1+Inputs!$B$3)^(A29-2015)),0)</f>
        <v>98169</v>
      </c>
      <c r="K29" s="145">
        <f>Inputs!$B$96</f>
        <v>0.28549012098867182</v>
      </c>
      <c r="L29" s="60">
        <f>Inputs!$B$99</f>
        <v>0.25</v>
      </c>
      <c r="M29" s="38">
        <f>Inputs!$B$17</f>
        <v>250</v>
      </c>
      <c r="N29" s="38">
        <f>Inputs!$B$37</f>
        <v>2</v>
      </c>
      <c r="O29" s="38">
        <f>'Pedestrian Users'!G33</f>
        <v>540.36027701919284</v>
      </c>
      <c r="P29" s="38">
        <f>'Pedestrian Users'!H33</f>
        <v>201.16762800298284</v>
      </c>
      <c r="Q29" s="38">
        <f t="shared" si="2"/>
        <v>741.52790502217567</v>
      </c>
      <c r="R29" s="48">
        <f t="shared" si="3"/>
        <v>26462.36141515716</v>
      </c>
      <c r="S29" s="118">
        <f>ROUND(R29/((1+Inputs!$B$3)^(A29-2015)),0)</f>
        <v>3720</v>
      </c>
      <c r="T29" s="173">
        <f t="shared" si="4"/>
        <v>724860.93719727895</v>
      </c>
      <c r="U29" s="57">
        <f>ROUND(T29/((1+Inputs!$B$3)^(A29-2016)),0)</f>
        <v>109021</v>
      </c>
    </row>
    <row r="30" spans="1:21" x14ac:dyDescent="0.25">
      <c r="A30" s="142">
        <v>2045</v>
      </c>
      <c r="B30" s="41">
        <f>Inputs!$B$72</f>
        <v>20.38</v>
      </c>
      <c r="C30" s="47">
        <f>Inputs!$B$74/60</f>
        <v>0.22441958482349836</v>
      </c>
      <c r="D30" s="38">
        <f>Inputs!$B$17</f>
        <v>250</v>
      </c>
      <c r="E30" s="38">
        <f>Inputs!$B$37</f>
        <v>2</v>
      </c>
      <c r="F30" s="38">
        <f>'Bicycle Users'!F34</f>
        <v>105.39936738225468</v>
      </c>
      <c r="G30" s="38">
        <f>'Bicycle Users'!G34</f>
        <v>203.42077904775155</v>
      </c>
      <c r="H30" s="38">
        <f t="shared" si="0"/>
        <v>308.82014643000622</v>
      </c>
      <c r="I30" s="48">
        <f t="shared" si="1"/>
        <v>706220.89538846095</v>
      </c>
      <c r="J30" s="118">
        <f>ROUND(I30/((1+Inputs!$B$3)^(A30-2015)),0)</f>
        <v>92774</v>
      </c>
      <c r="K30" s="145">
        <f>Inputs!$B$96</f>
        <v>0.28549012098867182</v>
      </c>
      <c r="L30" s="60">
        <f>Inputs!$B$99</f>
        <v>0.25</v>
      </c>
      <c r="M30" s="38">
        <f>Inputs!$B$17</f>
        <v>250</v>
      </c>
      <c r="N30" s="38">
        <f>Inputs!$B$37</f>
        <v>2</v>
      </c>
      <c r="O30" s="38">
        <f>'Pedestrian Users'!G34</f>
        <v>546.4125098501097</v>
      </c>
      <c r="P30" s="38">
        <f>'Pedestrian Users'!H34</f>
        <v>203.42077904775155</v>
      </c>
      <c r="Q30" s="38">
        <f t="shared" si="2"/>
        <v>749.83328889786128</v>
      </c>
      <c r="R30" s="48">
        <f t="shared" si="3"/>
        <v>26758.749546098017</v>
      </c>
      <c r="S30" s="118">
        <f>ROUND(R30/((1+Inputs!$B$3)^(A30-2015)),0)</f>
        <v>3515</v>
      </c>
      <c r="T30" s="173">
        <f t="shared" si="4"/>
        <v>732979.64493455901</v>
      </c>
      <c r="U30" s="57">
        <f>ROUND(T30/((1+Inputs!$B$3)^(A30-2016)),0)</f>
        <v>103030</v>
      </c>
    </row>
    <row r="31" spans="1:21" x14ac:dyDescent="0.25">
      <c r="A31" s="142">
        <v>2046</v>
      </c>
      <c r="B31" s="41">
        <f>Inputs!$B$72</f>
        <v>20.38</v>
      </c>
      <c r="C31" s="47">
        <f>Inputs!$B$74/60</f>
        <v>0.22441958482349836</v>
      </c>
      <c r="D31" s="38">
        <f>Inputs!$B$17</f>
        <v>250</v>
      </c>
      <c r="E31" s="38">
        <f>Inputs!$B$37</f>
        <v>2</v>
      </c>
      <c r="F31" s="38">
        <f>'Bicycle Users'!F35</f>
        <v>106.57987886460795</v>
      </c>
      <c r="G31" s="38">
        <f>'Bicycle Users'!G35</f>
        <v>205.69916620869336</v>
      </c>
      <c r="H31" s="38">
        <f t="shared" si="0"/>
        <v>312.27904507330129</v>
      </c>
      <c r="I31" s="48">
        <f t="shared" si="1"/>
        <v>714130.82783672947</v>
      </c>
      <c r="J31" s="118">
        <f>ROUND(I31/((1+Inputs!$B$3)^(A31-2015)),0)</f>
        <v>87676</v>
      </c>
      <c r="K31" s="145">
        <f>Inputs!$B$96</f>
        <v>0.28549012098867182</v>
      </c>
      <c r="L31" s="60">
        <f>Inputs!$B$99</f>
        <v>0.25</v>
      </c>
      <c r="M31" s="38">
        <f>Inputs!$B$17</f>
        <v>250</v>
      </c>
      <c r="N31" s="38">
        <f>Inputs!$B$37</f>
        <v>2</v>
      </c>
      <c r="O31" s="38">
        <f>'Pedestrian Users'!G35</f>
        <v>552.53252990336205</v>
      </c>
      <c r="P31" s="38">
        <f>'Pedestrian Users'!H35</f>
        <v>205.69916620869336</v>
      </c>
      <c r="Q31" s="38">
        <f t="shared" si="2"/>
        <v>758.23169611205537</v>
      </c>
      <c r="R31" s="48">
        <f t="shared" si="3"/>
        <v>27058.457332559567</v>
      </c>
      <c r="S31" s="118">
        <f>ROUND(R31/((1+Inputs!$B$3)^(A31-2015)),0)</f>
        <v>3322</v>
      </c>
      <c r="T31" s="173">
        <f t="shared" si="4"/>
        <v>741189.28516928898</v>
      </c>
      <c r="U31" s="57">
        <f>ROUND(T31/((1+Inputs!$B$3)^(A31-2016)),0)</f>
        <v>97368</v>
      </c>
    </row>
    <row r="32" spans="1:21" x14ac:dyDescent="0.25">
      <c r="A32" s="142">
        <v>2047</v>
      </c>
      <c r="B32" s="41">
        <f>Inputs!$B$72</f>
        <v>20.38</v>
      </c>
      <c r="C32" s="47">
        <f>Inputs!$B$74/60</f>
        <v>0.22441958482349836</v>
      </c>
      <c r="D32" s="38">
        <f>Inputs!$B$17</f>
        <v>250</v>
      </c>
      <c r="E32" s="38">
        <f>Inputs!$B$37</f>
        <v>2</v>
      </c>
      <c r="F32" s="38">
        <f>'Bicycle Users'!F36</f>
        <v>107.7736125075356</v>
      </c>
      <c r="G32" s="38">
        <f>'Bicycle Users'!G36</f>
        <v>208.00307213954372</v>
      </c>
      <c r="H32" s="38">
        <f t="shared" si="0"/>
        <v>315.77668464707932</v>
      </c>
      <c r="I32" s="48">
        <f t="shared" si="1"/>
        <v>722129.35442281642</v>
      </c>
      <c r="J32" s="118">
        <f>ROUND(I32/((1+Inputs!$B$3)^(A32-2015)),0)</f>
        <v>82858</v>
      </c>
      <c r="K32" s="145">
        <f>Inputs!$B$96</f>
        <v>0.28549012098867182</v>
      </c>
      <c r="L32" s="60">
        <f>Inputs!$B$99</f>
        <v>0.25</v>
      </c>
      <c r="M32" s="38">
        <f>Inputs!$B$17</f>
        <v>250</v>
      </c>
      <c r="N32" s="38">
        <f>Inputs!$B$37</f>
        <v>2</v>
      </c>
      <c r="O32" s="38">
        <f>'Pedestrian Users'!G36</f>
        <v>558.72109642064493</v>
      </c>
      <c r="P32" s="38">
        <f>'Pedestrian Users'!H36</f>
        <v>208.00307213954372</v>
      </c>
      <c r="Q32" s="38">
        <f t="shared" si="2"/>
        <v>766.72416856018867</v>
      </c>
      <c r="R32" s="48">
        <f t="shared" si="3"/>
        <v>27361.521955898388</v>
      </c>
      <c r="S32" s="118">
        <f>ROUND(R32/((1+Inputs!$B$3)^(A32-2015)),0)</f>
        <v>3139</v>
      </c>
      <c r="T32" s="173">
        <f t="shared" si="4"/>
        <v>749490.87637871481</v>
      </c>
      <c r="U32" s="57">
        <f>ROUND(T32/((1+Inputs!$B$3)^(A32-2016)),0)</f>
        <v>92017</v>
      </c>
    </row>
    <row r="33" spans="1:21" s="4" customFormat="1" x14ac:dyDescent="0.25">
      <c r="A33" s="142">
        <v>2048</v>
      </c>
      <c r="B33" s="41">
        <f>Inputs!$B$72</f>
        <v>20.38</v>
      </c>
      <c r="C33" s="47">
        <f>Inputs!$B$74/60</f>
        <v>0.22441958482349836</v>
      </c>
      <c r="D33" s="38">
        <f>Inputs!$B$17</f>
        <v>250</v>
      </c>
      <c r="E33" s="38">
        <f>Inputs!$B$37</f>
        <v>2</v>
      </c>
      <c r="F33" s="38">
        <f>'Bicycle Users'!F37</f>
        <v>108.98071640407433</v>
      </c>
      <c r="G33" s="38">
        <f>'Bicycle Users'!G37</f>
        <v>210.33278265986348</v>
      </c>
      <c r="H33" s="38">
        <f t="shared" ref="H33:H34" si="9">SUM(F33:G33)</f>
        <v>319.3134990639378</v>
      </c>
      <c r="I33" s="48">
        <f t="shared" ref="I33:I34" si="10">B33*C33*H33*D33*E33</f>
        <v>730217.46743348334</v>
      </c>
      <c r="J33" s="118">
        <f>ROUND(I33/((1+Inputs!$B$3)^(A33-2015)),0)</f>
        <v>78305</v>
      </c>
      <c r="K33" s="145">
        <f>Inputs!$B$96</f>
        <v>0.28549012098867182</v>
      </c>
      <c r="L33" s="60">
        <f>Inputs!$B$99</f>
        <v>0.25</v>
      </c>
      <c r="M33" s="38">
        <f>Inputs!$B$17</f>
        <v>250</v>
      </c>
      <c r="N33" s="38">
        <f>Inputs!$B$37</f>
        <v>2</v>
      </c>
      <c r="O33" s="38">
        <f>'Pedestrian Users'!G37</f>
        <v>564.97897714743783</v>
      </c>
      <c r="P33" s="38">
        <f>'Pedestrian Users'!H37</f>
        <v>210.33278265986348</v>
      </c>
      <c r="Q33" s="38">
        <f t="shared" ref="Q33:Q34" si="11">SUM(O33:P33)</f>
        <v>775.31175980730131</v>
      </c>
      <c r="R33" s="48">
        <f t="shared" ref="R33:R34" si="12">Q33*M33*N33*L33*K33</f>
        <v>27667.981013915814</v>
      </c>
      <c r="S33" s="118">
        <f>ROUND(R33/((1+Inputs!$B$3)^(A33-2015)),0)</f>
        <v>2967</v>
      </c>
      <c r="T33" s="173">
        <f t="shared" ref="T33:T34" si="13">SUM(I33,R33)</f>
        <v>757885.44844739919</v>
      </c>
      <c r="U33" s="57">
        <f>ROUND(T33/((1+Inputs!$B$3)^(A33-2016)),0)</f>
        <v>86961</v>
      </c>
    </row>
    <row r="34" spans="1:21" s="4" customFormat="1" ht="15.75" thickBot="1" x14ac:dyDescent="0.3">
      <c r="A34" s="142">
        <v>2049</v>
      </c>
      <c r="B34" s="41">
        <f>Inputs!$B$72</f>
        <v>20.38</v>
      </c>
      <c r="C34" s="47">
        <f>Inputs!$B$74/60</f>
        <v>0.22441958482349836</v>
      </c>
      <c r="D34" s="38">
        <f>Inputs!$B$17</f>
        <v>250</v>
      </c>
      <c r="E34" s="38">
        <f>Inputs!$B$37</f>
        <v>2</v>
      </c>
      <c r="F34" s="38">
        <f>'Bicycle Users'!F38</f>
        <v>110.20134030595702</v>
      </c>
      <c r="G34" s="38">
        <f>'Bicycle Users'!G38</f>
        <v>212.68858679049706</v>
      </c>
      <c r="H34" s="38">
        <f t="shared" si="9"/>
        <v>322.88992709645407</v>
      </c>
      <c r="I34" s="48">
        <f t="shared" si="10"/>
        <v>738396.17026946717</v>
      </c>
      <c r="J34" s="118">
        <f>ROUND(I34/((1+Inputs!$B$3)^(A34-2015)),0)</f>
        <v>74002</v>
      </c>
      <c r="K34" s="145">
        <f>Inputs!$B$96</f>
        <v>0.28549012098867182</v>
      </c>
      <c r="L34" s="60">
        <f>Inputs!$B$99</f>
        <v>0.25</v>
      </c>
      <c r="M34" s="38">
        <f>Inputs!$B$17</f>
        <v>250</v>
      </c>
      <c r="N34" s="38">
        <f>Inputs!$B$37</f>
        <v>2</v>
      </c>
      <c r="O34" s="38">
        <f>'Pedestrian Users'!G38</f>
        <v>571.30694842825073</v>
      </c>
      <c r="P34" s="38">
        <f>'Pedestrian Users'!H38</f>
        <v>212.68858679049706</v>
      </c>
      <c r="Q34" s="38">
        <f t="shared" si="11"/>
        <v>783.99553521874782</v>
      </c>
      <c r="R34" s="48">
        <f t="shared" si="12"/>
        <v>27977.872525522354</v>
      </c>
      <c r="S34" s="118">
        <f>ROUND(R34/((1+Inputs!$B$3)^(A34-2015)),0)</f>
        <v>2804</v>
      </c>
      <c r="T34" s="173">
        <f t="shared" si="13"/>
        <v>766374.04279498954</v>
      </c>
      <c r="U34" s="57">
        <f>ROUND(T34/((1+Inputs!$B$3)^(A34-2016)),0)</f>
        <v>82182</v>
      </c>
    </row>
    <row r="35" spans="1:21" s="1" customFormat="1" ht="15.75" thickBot="1" x14ac:dyDescent="0.3">
      <c r="A35" s="146" t="s">
        <v>165</v>
      </c>
      <c r="B35" s="147"/>
      <c r="C35" s="125"/>
      <c r="D35" s="116"/>
      <c r="E35" s="116"/>
      <c r="F35" s="116">
        <f>SUM(F3:F34)</f>
        <v>2826.0819539420327</v>
      </c>
      <c r="G35" s="116">
        <f>SUM(G3:G34)</f>
        <v>5454.3381711081211</v>
      </c>
      <c r="H35" s="116">
        <f>SUM(H3:H34)</f>
        <v>8280.4201250501537</v>
      </c>
      <c r="I35" s="122">
        <f>SUM(I3:I34)</f>
        <v>18935959.271138258</v>
      </c>
      <c r="J35" s="137">
        <f>SUM(J3:J34)</f>
        <v>5663228</v>
      </c>
      <c r="K35" s="148"/>
      <c r="L35" s="116"/>
      <c r="M35" s="116"/>
      <c r="N35" s="116"/>
      <c r="O35" s="116">
        <f t="shared" ref="O35:U35" si="14">SUM(O3:O34)</f>
        <v>14651.003813857375</v>
      </c>
      <c r="P35" s="116">
        <f t="shared" si="14"/>
        <v>5454.3381711081211</v>
      </c>
      <c r="Q35" s="116">
        <f t="shared" si="14"/>
        <v>20105.341984965497</v>
      </c>
      <c r="R35" s="122">
        <f t="shared" si="14"/>
        <v>717484.56447580294</v>
      </c>
      <c r="S35" s="137">
        <f t="shared" si="14"/>
        <v>214577</v>
      </c>
      <c r="T35" s="37">
        <f t="shared" si="14"/>
        <v>19653443.835614067</v>
      </c>
      <c r="U35" s="121">
        <f t="shared" si="14"/>
        <v>6289254</v>
      </c>
    </row>
    <row r="36" spans="1:21" x14ac:dyDescent="0.25">
      <c r="A36" s="31"/>
      <c r="B36" s="31"/>
      <c r="C36" s="30"/>
      <c r="D36" s="11"/>
      <c r="E36" s="11"/>
      <c r="F36" s="11"/>
      <c r="G36" s="11"/>
      <c r="H36" s="11"/>
      <c r="I36" s="29"/>
      <c r="J36" s="29"/>
    </row>
    <row r="37" spans="1:21" x14ac:dyDescent="0.25">
      <c r="A37" s="2"/>
    </row>
    <row r="38" spans="1:21" x14ac:dyDescent="0.25">
      <c r="A38" s="2"/>
    </row>
    <row r="39" spans="1:21" ht="15.75" thickBot="1" x14ac:dyDescent="0.3">
      <c r="A39" s="2"/>
    </row>
    <row r="40" spans="1:21" ht="15.75" thickBot="1" x14ac:dyDescent="0.3">
      <c r="A40" s="700" t="s">
        <v>132</v>
      </c>
      <c r="B40" s="695" t="s">
        <v>166</v>
      </c>
      <c r="C40" s="696"/>
      <c r="D40" s="696"/>
      <c r="E40" s="696"/>
      <c r="F40" s="696"/>
      <c r="G40" s="696"/>
      <c r="H40" s="696"/>
      <c r="I40" s="696"/>
      <c r="J40" s="697"/>
      <c r="K40" s="695" t="s">
        <v>172</v>
      </c>
      <c r="L40" s="696"/>
      <c r="M40" s="696"/>
      <c r="N40" s="696"/>
      <c r="O40" s="696"/>
      <c r="P40" s="696"/>
      <c r="Q40" s="696"/>
      <c r="R40" s="696"/>
      <c r="S40" s="697"/>
      <c r="T40" s="698" t="s">
        <v>188</v>
      </c>
      <c r="U40" s="699"/>
    </row>
    <row r="41" spans="1:21" ht="75" x14ac:dyDescent="0.25">
      <c r="A41" s="701"/>
      <c r="B41" s="604" t="s">
        <v>167</v>
      </c>
      <c r="C41" s="85" t="s">
        <v>164</v>
      </c>
      <c r="D41" s="96" t="s">
        <v>133</v>
      </c>
      <c r="E41" s="96" t="s">
        <v>134</v>
      </c>
      <c r="F41" s="96" t="s">
        <v>135</v>
      </c>
      <c r="G41" s="96" t="s">
        <v>170</v>
      </c>
      <c r="H41" s="96" t="s">
        <v>102</v>
      </c>
      <c r="I41" s="94" t="s">
        <v>161</v>
      </c>
      <c r="J41" s="126" t="s">
        <v>163</v>
      </c>
      <c r="K41" s="144" t="s">
        <v>169</v>
      </c>
      <c r="L41" s="96" t="s">
        <v>168</v>
      </c>
      <c r="M41" s="96" t="s">
        <v>133</v>
      </c>
      <c r="N41" s="96" t="s">
        <v>134</v>
      </c>
      <c r="O41" s="96" t="s">
        <v>135</v>
      </c>
      <c r="P41" s="96" t="s">
        <v>170</v>
      </c>
      <c r="Q41" s="96" t="s">
        <v>102</v>
      </c>
      <c r="R41" s="94" t="s">
        <v>161</v>
      </c>
      <c r="S41" s="126" t="s">
        <v>171</v>
      </c>
      <c r="T41" s="174" t="s">
        <v>161</v>
      </c>
      <c r="U41" s="175" t="s">
        <v>171</v>
      </c>
    </row>
    <row r="42" spans="1:21" x14ac:dyDescent="0.25">
      <c r="A42" s="142">
        <v>2018</v>
      </c>
      <c r="B42" s="41">
        <f>B3</f>
        <v>20.38</v>
      </c>
      <c r="C42" s="47">
        <f t="shared" ref="C42:Q42" si="15">C3</f>
        <v>0.22441958482349836</v>
      </c>
      <c r="D42" s="38">
        <f t="shared" si="15"/>
        <v>250</v>
      </c>
      <c r="E42" s="38">
        <f t="shared" si="15"/>
        <v>2</v>
      </c>
      <c r="F42" s="38">
        <f t="shared" si="15"/>
        <v>0</v>
      </c>
      <c r="G42" s="38">
        <f t="shared" si="15"/>
        <v>0</v>
      </c>
      <c r="H42" s="38">
        <f t="shared" si="15"/>
        <v>0</v>
      </c>
      <c r="I42" s="48">
        <f>ROUND(I3,-3)</f>
        <v>0</v>
      </c>
      <c r="J42" s="118">
        <f>ROUND(J3,-3)</f>
        <v>0</v>
      </c>
      <c r="K42" s="145">
        <f t="shared" si="15"/>
        <v>0.28549012098867182</v>
      </c>
      <c r="L42" s="60">
        <f t="shared" si="15"/>
        <v>0.25</v>
      </c>
      <c r="M42" s="38">
        <f t="shared" si="15"/>
        <v>250</v>
      </c>
      <c r="N42" s="38">
        <f t="shared" si="15"/>
        <v>2</v>
      </c>
      <c r="O42" s="38">
        <f t="shared" si="15"/>
        <v>0</v>
      </c>
      <c r="P42" s="38">
        <f t="shared" si="15"/>
        <v>0</v>
      </c>
      <c r="Q42" s="38">
        <f t="shared" si="15"/>
        <v>0</v>
      </c>
      <c r="R42" s="48">
        <f>ROUND(R3,-3)</f>
        <v>0</v>
      </c>
      <c r="S42" s="118">
        <f>ROUND(S3,-3)</f>
        <v>0</v>
      </c>
      <c r="T42" s="173">
        <f>ROUND(T3,-3)</f>
        <v>0</v>
      </c>
      <c r="U42" s="57">
        <f>ROUND(U3,-3)</f>
        <v>0</v>
      </c>
    </row>
    <row r="43" spans="1:21" x14ac:dyDescent="0.25">
      <c r="A43" s="142">
        <v>2019</v>
      </c>
      <c r="B43" s="41">
        <f t="shared" ref="B43:H43" si="16">B4</f>
        <v>20.38</v>
      </c>
      <c r="C43" s="47">
        <f t="shared" si="16"/>
        <v>0.22441958482349836</v>
      </c>
      <c r="D43" s="38">
        <f t="shared" si="16"/>
        <v>250</v>
      </c>
      <c r="E43" s="38">
        <f t="shared" si="16"/>
        <v>2</v>
      </c>
      <c r="F43" s="38">
        <f t="shared" si="16"/>
        <v>0</v>
      </c>
      <c r="G43" s="38">
        <f t="shared" si="16"/>
        <v>0</v>
      </c>
      <c r="H43" s="38">
        <f t="shared" si="16"/>
        <v>0</v>
      </c>
      <c r="I43" s="48">
        <f t="shared" ref="I43:J43" si="17">ROUND(I4,-3)</f>
        <v>0</v>
      </c>
      <c r="J43" s="118">
        <f t="shared" si="17"/>
        <v>0</v>
      </c>
      <c r="K43" s="145">
        <f t="shared" ref="K43:Q43" si="18">K4</f>
        <v>0.28549012098867182</v>
      </c>
      <c r="L43" s="60">
        <f t="shared" si="18"/>
        <v>0.25</v>
      </c>
      <c r="M43" s="38">
        <f t="shared" si="18"/>
        <v>250</v>
      </c>
      <c r="N43" s="38">
        <f t="shared" si="18"/>
        <v>2</v>
      </c>
      <c r="O43" s="38">
        <f t="shared" si="18"/>
        <v>0</v>
      </c>
      <c r="P43" s="38">
        <f t="shared" si="18"/>
        <v>0</v>
      </c>
      <c r="Q43" s="38">
        <f t="shared" si="18"/>
        <v>0</v>
      </c>
      <c r="R43" s="48">
        <f t="shared" ref="R43:U43" si="19">ROUND(R4,-3)</f>
        <v>0</v>
      </c>
      <c r="S43" s="118">
        <f t="shared" si="19"/>
        <v>0</v>
      </c>
      <c r="T43" s="173">
        <f t="shared" si="19"/>
        <v>0</v>
      </c>
      <c r="U43" s="57">
        <f t="shared" si="19"/>
        <v>0</v>
      </c>
    </row>
    <row r="44" spans="1:21" x14ac:dyDescent="0.25">
      <c r="A44" s="142">
        <v>2020</v>
      </c>
      <c r="B44" s="41">
        <f t="shared" ref="B44:H44" si="20">B5</f>
        <v>20.38</v>
      </c>
      <c r="C44" s="47">
        <f t="shared" si="20"/>
        <v>0.22441958482349836</v>
      </c>
      <c r="D44" s="38">
        <f t="shared" si="20"/>
        <v>250</v>
      </c>
      <c r="E44" s="38">
        <f t="shared" si="20"/>
        <v>2</v>
      </c>
      <c r="F44" s="38">
        <f t="shared" si="20"/>
        <v>79.782483639860942</v>
      </c>
      <c r="G44" s="38">
        <f t="shared" si="20"/>
        <v>153.98019342493163</v>
      </c>
      <c r="H44" s="38">
        <f t="shared" si="20"/>
        <v>233.76267706479257</v>
      </c>
      <c r="I44" s="48">
        <f t="shared" ref="I44:J44" si="21">ROUND(I5,-3)</f>
        <v>535000</v>
      </c>
      <c r="J44" s="118">
        <f t="shared" si="21"/>
        <v>381000</v>
      </c>
      <c r="K44" s="145">
        <f t="shared" ref="K44:Q44" si="22">K5</f>
        <v>0.28549012098867182</v>
      </c>
      <c r="L44" s="60">
        <f t="shared" si="22"/>
        <v>0.25</v>
      </c>
      <c r="M44" s="38">
        <f t="shared" si="22"/>
        <v>250</v>
      </c>
      <c r="N44" s="38">
        <f t="shared" si="22"/>
        <v>2</v>
      </c>
      <c r="O44" s="38">
        <f t="shared" si="22"/>
        <v>413.60919150138432</v>
      </c>
      <c r="P44" s="38">
        <f t="shared" si="22"/>
        <v>153.98019342493163</v>
      </c>
      <c r="Q44" s="38">
        <f t="shared" si="22"/>
        <v>567.58938492631592</v>
      </c>
      <c r="R44" s="48">
        <f t="shared" ref="R44:U44" si="23">ROUND(R5,-3)</f>
        <v>20000</v>
      </c>
      <c r="S44" s="118">
        <f t="shared" si="23"/>
        <v>14000</v>
      </c>
      <c r="T44" s="173">
        <f t="shared" si="23"/>
        <v>555000</v>
      </c>
      <c r="U44" s="57">
        <f t="shared" si="23"/>
        <v>423000</v>
      </c>
    </row>
    <row r="45" spans="1:21" x14ac:dyDescent="0.25">
      <c r="A45" s="142">
        <v>2021</v>
      </c>
      <c r="B45" s="41">
        <f t="shared" ref="B45:H45" si="24">B6</f>
        <v>20.38</v>
      </c>
      <c r="C45" s="47">
        <f t="shared" si="24"/>
        <v>0.22441958482349836</v>
      </c>
      <c r="D45" s="38">
        <f t="shared" si="24"/>
        <v>250</v>
      </c>
      <c r="E45" s="38">
        <f t="shared" si="24"/>
        <v>2</v>
      </c>
      <c r="F45" s="38">
        <f t="shared" si="24"/>
        <v>80.676076650584974</v>
      </c>
      <c r="G45" s="38">
        <f t="shared" si="24"/>
        <v>155.70482793562903</v>
      </c>
      <c r="H45" s="38">
        <f t="shared" si="24"/>
        <v>236.380904586214</v>
      </c>
      <c r="I45" s="48">
        <f t="shared" ref="I45:J45" si="25">ROUND(I6,-3)</f>
        <v>541000</v>
      </c>
      <c r="J45" s="118">
        <f t="shared" si="25"/>
        <v>360000</v>
      </c>
      <c r="K45" s="145">
        <f t="shared" ref="K45:Q45" si="26">K6</f>
        <v>0.28549012098867182</v>
      </c>
      <c r="L45" s="60">
        <f t="shared" si="26"/>
        <v>0.25</v>
      </c>
      <c r="M45" s="38">
        <f t="shared" si="26"/>
        <v>250</v>
      </c>
      <c r="N45" s="38">
        <f t="shared" si="26"/>
        <v>2</v>
      </c>
      <c r="O45" s="38">
        <f t="shared" si="26"/>
        <v>418.24176579382197</v>
      </c>
      <c r="P45" s="38">
        <f t="shared" si="26"/>
        <v>155.70482793562903</v>
      </c>
      <c r="Q45" s="38">
        <f t="shared" si="26"/>
        <v>573.94659372945102</v>
      </c>
      <c r="R45" s="48">
        <f t="shared" ref="R45:U45" si="27">ROUND(R6,-3)</f>
        <v>20000</v>
      </c>
      <c r="S45" s="118">
        <f t="shared" si="27"/>
        <v>14000</v>
      </c>
      <c r="T45" s="173">
        <f t="shared" si="27"/>
        <v>561000</v>
      </c>
      <c r="U45" s="57">
        <f t="shared" si="27"/>
        <v>400000</v>
      </c>
    </row>
    <row r="46" spans="1:21" x14ac:dyDescent="0.25">
      <c r="A46" s="142">
        <v>2022</v>
      </c>
      <c r="B46" s="41">
        <f t="shared" ref="B46:H46" si="28">B7</f>
        <v>20.38</v>
      </c>
      <c r="C46" s="47">
        <f t="shared" si="28"/>
        <v>0.22441958482349836</v>
      </c>
      <c r="D46" s="38">
        <f t="shared" si="28"/>
        <v>250</v>
      </c>
      <c r="E46" s="38">
        <f t="shared" si="28"/>
        <v>2</v>
      </c>
      <c r="F46" s="38">
        <f t="shared" si="28"/>
        <v>81.579678230012121</v>
      </c>
      <c r="G46" s="38">
        <f t="shared" si="28"/>
        <v>157.4487789839234</v>
      </c>
      <c r="H46" s="38">
        <f t="shared" si="28"/>
        <v>239.02845721393552</v>
      </c>
      <c r="I46" s="48">
        <f t="shared" ref="I46:J46" si="29">ROUND(I7,-3)</f>
        <v>547000</v>
      </c>
      <c r="J46" s="118">
        <f t="shared" si="29"/>
        <v>340000</v>
      </c>
      <c r="K46" s="145">
        <f t="shared" ref="K46:Q46" si="30">K7</f>
        <v>0.28549012098867182</v>
      </c>
      <c r="L46" s="60">
        <f t="shared" si="30"/>
        <v>0.25</v>
      </c>
      <c r="M46" s="38">
        <f t="shared" si="30"/>
        <v>250</v>
      </c>
      <c r="N46" s="38">
        <f t="shared" si="30"/>
        <v>2</v>
      </c>
      <c r="O46" s="38">
        <f t="shared" si="30"/>
        <v>422.92622661348378</v>
      </c>
      <c r="P46" s="38">
        <f t="shared" si="30"/>
        <v>157.4487789839234</v>
      </c>
      <c r="Q46" s="38">
        <f t="shared" si="30"/>
        <v>580.37500559740715</v>
      </c>
      <c r="R46" s="48">
        <f t="shared" ref="R46:U46" si="31">ROUND(R7,-3)</f>
        <v>21000</v>
      </c>
      <c r="S46" s="118">
        <f t="shared" si="31"/>
        <v>13000</v>
      </c>
      <c r="T46" s="173">
        <f t="shared" si="31"/>
        <v>567000</v>
      </c>
      <c r="U46" s="57">
        <f t="shared" si="31"/>
        <v>378000</v>
      </c>
    </row>
    <row r="47" spans="1:21" x14ac:dyDescent="0.25">
      <c r="A47" s="142">
        <v>2023</v>
      </c>
      <c r="B47" s="41">
        <f t="shared" ref="B47:H47" si="32">B8</f>
        <v>20.38</v>
      </c>
      <c r="C47" s="47">
        <f t="shared" si="32"/>
        <v>0.22441958482349836</v>
      </c>
      <c r="D47" s="38">
        <f t="shared" si="32"/>
        <v>250</v>
      </c>
      <c r="E47" s="38">
        <f t="shared" si="32"/>
        <v>2</v>
      </c>
      <c r="F47" s="38">
        <f t="shared" si="32"/>
        <v>82.493400477774188</v>
      </c>
      <c r="G47" s="38">
        <f t="shared" si="32"/>
        <v>159.2122629221042</v>
      </c>
      <c r="H47" s="38">
        <f t="shared" si="32"/>
        <v>241.7056633998784</v>
      </c>
      <c r="I47" s="48">
        <f t="shared" ref="I47:J47" si="33">ROUND(I8,-3)</f>
        <v>553000</v>
      </c>
      <c r="J47" s="118">
        <f t="shared" si="33"/>
        <v>322000</v>
      </c>
      <c r="K47" s="145">
        <f t="shared" ref="K47:Q47" si="34">K8</f>
        <v>0.28549012098867182</v>
      </c>
      <c r="L47" s="60">
        <f t="shared" si="34"/>
        <v>0.25</v>
      </c>
      <c r="M47" s="38">
        <f t="shared" si="34"/>
        <v>250</v>
      </c>
      <c r="N47" s="38">
        <f t="shared" si="34"/>
        <v>2</v>
      </c>
      <c r="O47" s="38">
        <f t="shared" si="34"/>
        <v>427.66315510846084</v>
      </c>
      <c r="P47" s="38">
        <f t="shared" si="34"/>
        <v>159.2122629221042</v>
      </c>
      <c r="Q47" s="38">
        <f t="shared" si="34"/>
        <v>586.87541803056502</v>
      </c>
      <c r="R47" s="48">
        <f t="shared" ref="R47:U47" si="35">ROUND(R8,-3)</f>
        <v>21000</v>
      </c>
      <c r="S47" s="118">
        <f t="shared" si="35"/>
        <v>12000</v>
      </c>
      <c r="T47" s="173">
        <f t="shared" si="35"/>
        <v>574000</v>
      </c>
      <c r="U47" s="57">
        <f t="shared" si="35"/>
        <v>357000</v>
      </c>
    </row>
    <row r="48" spans="1:21" x14ac:dyDescent="0.25">
      <c r="A48" s="142">
        <v>2024</v>
      </c>
      <c r="B48" s="41">
        <f t="shared" ref="B48:H48" si="36">B9</f>
        <v>20.38</v>
      </c>
      <c r="C48" s="47">
        <f t="shared" si="36"/>
        <v>0.22441958482349836</v>
      </c>
      <c r="D48" s="38">
        <f t="shared" si="36"/>
        <v>250</v>
      </c>
      <c r="E48" s="38">
        <f t="shared" si="36"/>
        <v>2</v>
      </c>
      <c r="F48" s="38">
        <f t="shared" si="36"/>
        <v>83.417356749059877</v>
      </c>
      <c r="G48" s="38">
        <f t="shared" si="36"/>
        <v>160.99549852568558</v>
      </c>
      <c r="H48" s="38">
        <f t="shared" si="36"/>
        <v>244.41285527474545</v>
      </c>
      <c r="I48" s="48">
        <f t="shared" ref="I48:J48" si="37">ROUND(I9,-3)</f>
        <v>559000</v>
      </c>
      <c r="J48" s="118">
        <f t="shared" si="37"/>
        <v>304000</v>
      </c>
      <c r="K48" s="145">
        <f t="shared" ref="K48:Q48" si="38">K9</f>
        <v>0.28549012098867182</v>
      </c>
      <c r="L48" s="60">
        <f t="shared" si="38"/>
        <v>0.25</v>
      </c>
      <c r="M48" s="38">
        <f t="shared" si="38"/>
        <v>250</v>
      </c>
      <c r="N48" s="38">
        <f t="shared" si="38"/>
        <v>2</v>
      </c>
      <c r="O48" s="38">
        <f t="shared" si="38"/>
        <v>432.45313893591555</v>
      </c>
      <c r="P48" s="38">
        <f t="shared" si="38"/>
        <v>160.99549852568558</v>
      </c>
      <c r="Q48" s="38">
        <f t="shared" si="38"/>
        <v>593.44863746160115</v>
      </c>
      <c r="R48" s="48">
        <f t="shared" ref="R48:U48" si="39">ROUND(R9,-3)</f>
        <v>21000</v>
      </c>
      <c r="S48" s="118">
        <f t="shared" si="39"/>
        <v>12000</v>
      </c>
      <c r="T48" s="173">
        <f t="shared" si="39"/>
        <v>580000</v>
      </c>
      <c r="U48" s="57">
        <f t="shared" si="39"/>
        <v>338000</v>
      </c>
    </row>
    <row r="49" spans="1:21" x14ac:dyDescent="0.25">
      <c r="A49" s="142">
        <v>2025</v>
      </c>
      <c r="B49" s="41">
        <f t="shared" ref="B49:H49" si="40">B10</f>
        <v>20.38</v>
      </c>
      <c r="C49" s="47">
        <f t="shared" si="40"/>
        <v>0.22441958482349836</v>
      </c>
      <c r="D49" s="38">
        <f t="shared" si="40"/>
        <v>250</v>
      </c>
      <c r="E49" s="38">
        <f t="shared" si="40"/>
        <v>2</v>
      </c>
      <c r="F49" s="38">
        <f t="shared" si="40"/>
        <v>84.35166166867748</v>
      </c>
      <c r="G49" s="38">
        <f t="shared" si="40"/>
        <v>162.79870702054754</v>
      </c>
      <c r="H49" s="38">
        <f t="shared" si="40"/>
        <v>247.15036868922502</v>
      </c>
      <c r="I49" s="48">
        <f t="shared" ref="I49:J49" si="41">ROUND(I10,-3)</f>
        <v>565000</v>
      </c>
      <c r="J49" s="118">
        <f t="shared" si="41"/>
        <v>287000</v>
      </c>
      <c r="K49" s="145">
        <f t="shared" ref="K49:Q49" si="42">K10</f>
        <v>0.28549012098867182</v>
      </c>
      <c r="L49" s="60">
        <f t="shared" si="42"/>
        <v>0.25</v>
      </c>
      <c r="M49" s="38">
        <f t="shared" si="42"/>
        <v>250</v>
      </c>
      <c r="N49" s="38">
        <f t="shared" si="42"/>
        <v>2</v>
      </c>
      <c r="O49" s="38">
        <f t="shared" si="42"/>
        <v>437.29677233498575</v>
      </c>
      <c r="P49" s="38">
        <f t="shared" si="42"/>
        <v>162.79870702054754</v>
      </c>
      <c r="Q49" s="38">
        <f t="shared" si="42"/>
        <v>600.09547935553326</v>
      </c>
      <c r="R49" s="48">
        <f t="shared" ref="R49:U49" si="43">ROUND(R10,-3)</f>
        <v>21000</v>
      </c>
      <c r="S49" s="118">
        <f t="shared" si="43"/>
        <v>11000</v>
      </c>
      <c r="T49" s="173">
        <f t="shared" si="43"/>
        <v>587000</v>
      </c>
      <c r="U49" s="57">
        <f t="shared" si="43"/>
        <v>319000</v>
      </c>
    </row>
    <row r="50" spans="1:21" x14ac:dyDescent="0.25">
      <c r="A50" s="142">
        <v>2026</v>
      </c>
      <c r="B50" s="41">
        <f t="shared" ref="B50:H50" si="44">B11</f>
        <v>20.38</v>
      </c>
      <c r="C50" s="47">
        <f t="shared" si="44"/>
        <v>0.22441958482349836</v>
      </c>
      <c r="D50" s="38">
        <f t="shared" si="44"/>
        <v>250</v>
      </c>
      <c r="E50" s="38">
        <f t="shared" si="44"/>
        <v>2</v>
      </c>
      <c r="F50" s="38">
        <f t="shared" si="44"/>
        <v>85.296431145275079</v>
      </c>
      <c r="G50" s="38">
        <f t="shared" si="44"/>
        <v>164.62211211038093</v>
      </c>
      <c r="H50" s="38">
        <f t="shared" si="44"/>
        <v>249.918543255656</v>
      </c>
      <c r="I50" s="48">
        <f t="shared" ref="I50:J50" si="45">ROUND(I11,-3)</f>
        <v>572000</v>
      </c>
      <c r="J50" s="118">
        <f t="shared" si="45"/>
        <v>272000</v>
      </c>
      <c r="K50" s="145">
        <f t="shared" ref="K50:Q50" si="46">K11</f>
        <v>0.28549012098867182</v>
      </c>
      <c r="L50" s="60">
        <f t="shared" si="46"/>
        <v>0.25</v>
      </c>
      <c r="M50" s="38">
        <f t="shared" si="46"/>
        <v>250</v>
      </c>
      <c r="N50" s="38">
        <f t="shared" si="46"/>
        <v>2</v>
      </c>
      <c r="O50" s="38">
        <f t="shared" si="46"/>
        <v>442.19465620050488</v>
      </c>
      <c r="P50" s="38">
        <f t="shared" si="46"/>
        <v>164.62211211038093</v>
      </c>
      <c r="Q50" s="38">
        <f t="shared" si="46"/>
        <v>606.81676831088578</v>
      </c>
      <c r="R50" s="48">
        <f t="shared" ref="R50:U50" si="47">ROUND(R11,-3)</f>
        <v>22000</v>
      </c>
      <c r="S50" s="118">
        <f t="shared" si="47"/>
        <v>10000</v>
      </c>
      <c r="T50" s="173">
        <f t="shared" si="47"/>
        <v>593000</v>
      </c>
      <c r="U50" s="57">
        <f t="shared" si="47"/>
        <v>302000</v>
      </c>
    </row>
    <row r="51" spans="1:21" x14ac:dyDescent="0.25">
      <c r="A51" s="142">
        <v>2027</v>
      </c>
      <c r="B51" s="41">
        <f t="shared" ref="B51:H51" si="48">B12</f>
        <v>20.38</v>
      </c>
      <c r="C51" s="47">
        <f t="shared" si="48"/>
        <v>0.22441958482349836</v>
      </c>
      <c r="D51" s="38">
        <f t="shared" si="48"/>
        <v>250</v>
      </c>
      <c r="E51" s="38">
        <f t="shared" si="48"/>
        <v>2</v>
      </c>
      <c r="F51" s="38">
        <f t="shared" si="48"/>
        <v>86.251782385720048</v>
      </c>
      <c r="G51" s="38">
        <f t="shared" si="48"/>
        <v>166.46594000443972</v>
      </c>
      <c r="H51" s="38">
        <f t="shared" si="48"/>
        <v>252.71772239015976</v>
      </c>
      <c r="I51" s="48">
        <f t="shared" ref="I51:J51" si="49">ROUND(I12,-3)</f>
        <v>578000</v>
      </c>
      <c r="J51" s="118">
        <f t="shared" si="49"/>
        <v>257000</v>
      </c>
      <c r="K51" s="145">
        <f t="shared" ref="K51:Q51" si="50">K12</f>
        <v>0.28549012098867182</v>
      </c>
      <c r="L51" s="60">
        <f t="shared" si="50"/>
        <v>0.25</v>
      </c>
      <c r="M51" s="38">
        <f t="shared" si="50"/>
        <v>250</v>
      </c>
      <c r="N51" s="38">
        <f t="shared" si="50"/>
        <v>2</v>
      </c>
      <c r="O51" s="38">
        <f t="shared" si="50"/>
        <v>447.14739815754854</v>
      </c>
      <c r="P51" s="38">
        <f t="shared" si="50"/>
        <v>166.46594000443972</v>
      </c>
      <c r="Q51" s="38">
        <f t="shared" si="50"/>
        <v>613.61333816198828</v>
      </c>
      <c r="R51" s="48">
        <f t="shared" ref="R51:U51" si="51">ROUND(R12,-3)</f>
        <v>22000</v>
      </c>
      <c r="S51" s="118">
        <f t="shared" si="51"/>
        <v>10000</v>
      </c>
      <c r="T51" s="173">
        <f t="shared" si="51"/>
        <v>600000</v>
      </c>
      <c r="U51" s="57">
        <f t="shared" si="51"/>
        <v>285000</v>
      </c>
    </row>
    <row r="52" spans="1:21" x14ac:dyDescent="0.25">
      <c r="A52" s="142">
        <v>2028</v>
      </c>
      <c r="B52" s="41">
        <f t="shared" ref="B52:H52" si="52">B13</f>
        <v>20.38</v>
      </c>
      <c r="C52" s="47">
        <f t="shared" si="52"/>
        <v>0.22441958482349836</v>
      </c>
      <c r="D52" s="38">
        <f t="shared" si="52"/>
        <v>250</v>
      </c>
      <c r="E52" s="38">
        <f t="shared" si="52"/>
        <v>2</v>
      </c>
      <c r="F52" s="38">
        <f t="shared" si="52"/>
        <v>87.217833909639538</v>
      </c>
      <c r="G52" s="38">
        <f t="shared" si="52"/>
        <v>168.33041944560432</v>
      </c>
      <c r="H52" s="38">
        <f t="shared" si="52"/>
        <v>255.54825335524384</v>
      </c>
      <c r="I52" s="48">
        <f t="shared" ref="I52:J52" si="53">ROUND(I13,-3)</f>
        <v>584000</v>
      </c>
      <c r="J52" s="118">
        <f t="shared" si="53"/>
        <v>243000</v>
      </c>
      <c r="K52" s="145">
        <f t="shared" ref="K52:Q52" si="54">K13</f>
        <v>0.28549012098867182</v>
      </c>
      <c r="L52" s="60">
        <f t="shared" si="54"/>
        <v>0.25</v>
      </c>
      <c r="M52" s="38">
        <f t="shared" si="54"/>
        <v>250</v>
      </c>
      <c r="N52" s="38">
        <f t="shared" si="54"/>
        <v>2</v>
      </c>
      <c r="O52" s="38">
        <f t="shared" si="54"/>
        <v>452.15561263681536</v>
      </c>
      <c r="P52" s="38">
        <f t="shared" si="54"/>
        <v>168.33041944560432</v>
      </c>
      <c r="Q52" s="38">
        <f t="shared" si="54"/>
        <v>620.48603208241968</v>
      </c>
      <c r="R52" s="48">
        <f t="shared" ref="R52:U52" si="55">ROUND(R13,-3)</f>
        <v>22000</v>
      </c>
      <c r="S52" s="118">
        <f t="shared" si="55"/>
        <v>9000</v>
      </c>
      <c r="T52" s="173">
        <f t="shared" si="55"/>
        <v>607000</v>
      </c>
      <c r="U52" s="57">
        <f t="shared" si="55"/>
        <v>269000</v>
      </c>
    </row>
    <row r="53" spans="1:21" x14ac:dyDescent="0.25">
      <c r="A53" s="142">
        <v>2029</v>
      </c>
      <c r="B53" s="41">
        <f t="shared" ref="B53:H53" si="56">B14</f>
        <v>20.38</v>
      </c>
      <c r="C53" s="47">
        <f t="shared" si="56"/>
        <v>0.22441958482349836</v>
      </c>
      <c r="D53" s="38">
        <f t="shared" si="56"/>
        <v>250</v>
      </c>
      <c r="E53" s="38">
        <f t="shared" si="56"/>
        <v>2</v>
      </c>
      <c r="F53" s="38">
        <f t="shared" si="56"/>
        <v>88.194705564123907</v>
      </c>
      <c r="G53" s="38">
        <f t="shared" si="56"/>
        <v>170.21578173875915</v>
      </c>
      <c r="H53" s="38">
        <f t="shared" si="56"/>
        <v>258.41048730288304</v>
      </c>
      <c r="I53" s="48">
        <f t="shared" ref="I53:J53" si="57">ROUND(I14,-3)</f>
        <v>591000</v>
      </c>
      <c r="J53" s="118">
        <f t="shared" si="57"/>
        <v>229000</v>
      </c>
      <c r="K53" s="145">
        <f t="shared" ref="K53:Q53" si="58">K14</f>
        <v>0.28549012098867182</v>
      </c>
      <c r="L53" s="60">
        <f t="shared" si="58"/>
        <v>0.25</v>
      </c>
      <c r="M53" s="38">
        <f t="shared" si="58"/>
        <v>250</v>
      </c>
      <c r="N53" s="38">
        <f t="shared" si="58"/>
        <v>2</v>
      </c>
      <c r="O53" s="38">
        <f t="shared" si="58"/>
        <v>457.21992095085272</v>
      </c>
      <c r="P53" s="38">
        <f t="shared" si="58"/>
        <v>170.21578173875915</v>
      </c>
      <c r="Q53" s="38">
        <f t="shared" si="58"/>
        <v>627.43570268961184</v>
      </c>
      <c r="R53" s="48">
        <f t="shared" ref="R53:U53" si="59">ROUND(R14,-3)</f>
        <v>22000</v>
      </c>
      <c r="S53" s="118">
        <f t="shared" si="59"/>
        <v>9000</v>
      </c>
      <c r="T53" s="173">
        <f t="shared" si="59"/>
        <v>613000</v>
      </c>
      <c r="U53" s="57">
        <f t="shared" si="59"/>
        <v>255000</v>
      </c>
    </row>
    <row r="54" spans="1:21" x14ac:dyDescent="0.25">
      <c r="A54" s="142">
        <v>2030</v>
      </c>
      <c r="B54" s="41">
        <f t="shared" ref="B54:H54" si="60">B15</f>
        <v>20.38</v>
      </c>
      <c r="C54" s="47">
        <f t="shared" si="60"/>
        <v>0.22441958482349836</v>
      </c>
      <c r="D54" s="38">
        <f t="shared" si="60"/>
        <v>250</v>
      </c>
      <c r="E54" s="38">
        <f t="shared" si="60"/>
        <v>2</v>
      </c>
      <c r="F54" s="38">
        <f t="shared" si="60"/>
        <v>89.182518538594778</v>
      </c>
      <c r="G54" s="38">
        <f t="shared" si="60"/>
        <v>172.12226077948793</v>
      </c>
      <c r="H54" s="38">
        <f t="shared" si="60"/>
        <v>261.30477931808269</v>
      </c>
      <c r="I54" s="48">
        <f t="shared" ref="I54:J54" si="61">ROUND(I15,-3)</f>
        <v>598000</v>
      </c>
      <c r="J54" s="118">
        <f t="shared" si="61"/>
        <v>217000</v>
      </c>
      <c r="K54" s="145">
        <f t="shared" ref="K54:Q54" si="62">K15</f>
        <v>0.28549012098867182</v>
      </c>
      <c r="L54" s="60">
        <f t="shared" si="62"/>
        <v>0.25</v>
      </c>
      <c r="M54" s="38">
        <f t="shared" si="62"/>
        <v>250</v>
      </c>
      <c r="N54" s="38">
        <f t="shared" si="62"/>
        <v>2</v>
      </c>
      <c r="O54" s="38">
        <f t="shared" si="62"/>
        <v>462.34095137113593</v>
      </c>
      <c r="P54" s="38">
        <f t="shared" si="62"/>
        <v>172.12226077948793</v>
      </c>
      <c r="Q54" s="38">
        <f t="shared" si="62"/>
        <v>634.4632121506238</v>
      </c>
      <c r="R54" s="48">
        <f t="shared" ref="R54:U54" si="63">ROUND(R15,-3)</f>
        <v>23000</v>
      </c>
      <c r="S54" s="118">
        <f t="shared" si="63"/>
        <v>8000</v>
      </c>
      <c r="T54" s="173">
        <f t="shared" si="63"/>
        <v>620000</v>
      </c>
      <c r="U54" s="57">
        <f t="shared" si="63"/>
        <v>241000</v>
      </c>
    </row>
    <row r="55" spans="1:21" x14ac:dyDescent="0.25">
      <c r="A55" s="142">
        <v>2031</v>
      </c>
      <c r="B55" s="41">
        <f t="shared" ref="B55:H55" si="64">B16</f>
        <v>20.38</v>
      </c>
      <c r="C55" s="47">
        <f t="shared" si="64"/>
        <v>0.22441958482349836</v>
      </c>
      <c r="D55" s="38">
        <f t="shared" si="64"/>
        <v>250</v>
      </c>
      <c r="E55" s="38">
        <f t="shared" si="64"/>
        <v>2</v>
      </c>
      <c r="F55" s="38">
        <f t="shared" si="64"/>
        <v>90.181395379839643</v>
      </c>
      <c r="G55" s="38">
        <f t="shared" si="64"/>
        <v>174.05009308309053</v>
      </c>
      <c r="H55" s="38">
        <f t="shared" si="64"/>
        <v>264.2314884629302</v>
      </c>
      <c r="I55" s="48">
        <f t="shared" ref="I55:J55" si="65">ROUND(I16,-3)</f>
        <v>604000</v>
      </c>
      <c r="J55" s="118">
        <f t="shared" si="65"/>
        <v>205000</v>
      </c>
      <c r="K55" s="145">
        <f t="shared" ref="K55:Q55" si="66">K16</f>
        <v>0.28549012098867182</v>
      </c>
      <c r="L55" s="60">
        <f t="shared" si="66"/>
        <v>0.25</v>
      </c>
      <c r="M55" s="38">
        <f t="shared" si="66"/>
        <v>250</v>
      </c>
      <c r="N55" s="38">
        <f t="shared" si="66"/>
        <v>2</v>
      </c>
      <c r="O55" s="38">
        <f t="shared" si="66"/>
        <v>467.51933920601061</v>
      </c>
      <c r="P55" s="38">
        <f t="shared" si="66"/>
        <v>174.05009308309053</v>
      </c>
      <c r="Q55" s="38">
        <f t="shared" si="66"/>
        <v>641.56943228910109</v>
      </c>
      <c r="R55" s="48">
        <f t="shared" ref="R55:U55" si="67">ROUND(R16,-3)</f>
        <v>23000</v>
      </c>
      <c r="S55" s="118">
        <f t="shared" si="67"/>
        <v>8000</v>
      </c>
      <c r="T55" s="173">
        <f t="shared" si="67"/>
        <v>627000</v>
      </c>
      <c r="U55" s="57">
        <f t="shared" si="67"/>
        <v>227000</v>
      </c>
    </row>
    <row r="56" spans="1:21" x14ac:dyDescent="0.25">
      <c r="A56" s="142">
        <v>2032</v>
      </c>
      <c r="B56" s="41">
        <f t="shared" ref="B56:H56" si="68">B17</f>
        <v>20.38</v>
      </c>
      <c r="C56" s="47">
        <f t="shared" si="68"/>
        <v>0.22441958482349836</v>
      </c>
      <c r="D56" s="38">
        <f t="shared" si="68"/>
        <v>250</v>
      </c>
      <c r="E56" s="38">
        <f t="shared" si="68"/>
        <v>2</v>
      </c>
      <c r="F56" s="38">
        <f t="shared" si="68"/>
        <v>91.191460007214857</v>
      </c>
      <c r="G56" s="38">
        <f t="shared" si="68"/>
        <v>175.99951781392468</v>
      </c>
      <c r="H56" s="38">
        <f t="shared" si="68"/>
        <v>267.19097782113954</v>
      </c>
      <c r="I56" s="48">
        <f t="shared" ref="I56:J56" si="69">ROUND(I17,-3)</f>
        <v>611000</v>
      </c>
      <c r="J56" s="118">
        <f t="shared" si="69"/>
        <v>193000</v>
      </c>
      <c r="K56" s="145">
        <f t="shared" ref="K56:Q56" si="70">K17</f>
        <v>0.28549012098867182</v>
      </c>
      <c r="L56" s="60">
        <f t="shared" si="70"/>
        <v>0.25</v>
      </c>
      <c r="M56" s="38">
        <f t="shared" si="70"/>
        <v>250</v>
      </c>
      <c r="N56" s="38">
        <f t="shared" si="70"/>
        <v>2</v>
      </c>
      <c r="O56" s="38">
        <f t="shared" si="70"/>
        <v>472.75572687950842</v>
      </c>
      <c r="P56" s="38">
        <f t="shared" si="70"/>
        <v>175.99951781392468</v>
      </c>
      <c r="Q56" s="38">
        <f t="shared" si="70"/>
        <v>648.75524469343304</v>
      </c>
      <c r="R56" s="48">
        <f t="shared" ref="R56:U56" si="71">ROUND(R17,-3)</f>
        <v>23000</v>
      </c>
      <c r="S56" s="118">
        <f t="shared" si="71"/>
        <v>7000</v>
      </c>
      <c r="T56" s="173">
        <f t="shared" si="71"/>
        <v>634000</v>
      </c>
      <c r="U56" s="57">
        <f t="shared" si="71"/>
        <v>215000</v>
      </c>
    </row>
    <row r="57" spans="1:21" x14ac:dyDescent="0.25">
      <c r="A57" s="142">
        <v>2033</v>
      </c>
      <c r="B57" s="41">
        <f t="shared" ref="B57:H57" si="72">B18</f>
        <v>20.38</v>
      </c>
      <c r="C57" s="47">
        <f t="shared" si="72"/>
        <v>0.22441958482349836</v>
      </c>
      <c r="D57" s="38">
        <f t="shared" si="72"/>
        <v>250</v>
      </c>
      <c r="E57" s="38">
        <f t="shared" si="72"/>
        <v>2</v>
      </c>
      <c r="F57" s="38">
        <f t="shared" si="72"/>
        <v>92.212837728018897</v>
      </c>
      <c r="G57" s="38">
        <f t="shared" si="72"/>
        <v>177.97077681507648</v>
      </c>
      <c r="H57" s="38">
        <f t="shared" si="72"/>
        <v>270.18361454309536</v>
      </c>
      <c r="I57" s="48">
        <f t="shared" ref="I57:J57" si="73">ROUND(I18,-3)</f>
        <v>618000</v>
      </c>
      <c r="J57" s="118">
        <f t="shared" si="73"/>
        <v>183000</v>
      </c>
      <c r="K57" s="145">
        <f t="shared" ref="K57:Q57" si="74">K18</f>
        <v>0.28549012098867182</v>
      </c>
      <c r="L57" s="60">
        <f t="shared" si="74"/>
        <v>0.25</v>
      </c>
      <c r="M57" s="38">
        <f t="shared" si="74"/>
        <v>250</v>
      </c>
      <c r="N57" s="38">
        <f t="shared" si="74"/>
        <v>2</v>
      </c>
      <c r="O57" s="38">
        <f t="shared" si="74"/>
        <v>478.05076401104515</v>
      </c>
      <c r="P57" s="38">
        <f t="shared" si="74"/>
        <v>177.97077681507648</v>
      </c>
      <c r="Q57" s="38">
        <f t="shared" si="74"/>
        <v>656.02154082612162</v>
      </c>
      <c r="R57" s="48">
        <f t="shared" ref="R57:U57" si="75">ROUND(R18,-3)</f>
        <v>23000</v>
      </c>
      <c r="S57" s="118">
        <f t="shared" si="75"/>
        <v>7000</v>
      </c>
      <c r="T57" s="173">
        <f t="shared" si="75"/>
        <v>641000</v>
      </c>
      <c r="U57" s="57">
        <f t="shared" si="75"/>
        <v>203000</v>
      </c>
    </row>
    <row r="58" spans="1:21" x14ac:dyDescent="0.25">
      <c r="A58" s="142">
        <v>2034</v>
      </c>
      <c r="B58" s="41">
        <f t="shared" ref="B58:H58" si="76">B19</f>
        <v>20.38</v>
      </c>
      <c r="C58" s="47">
        <f t="shared" si="76"/>
        <v>0.22441958482349836</v>
      </c>
      <c r="D58" s="38">
        <f t="shared" si="76"/>
        <v>250</v>
      </c>
      <c r="E58" s="38">
        <f t="shared" si="76"/>
        <v>2</v>
      </c>
      <c r="F58" s="38">
        <f t="shared" si="76"/>
        <v>93.245655253037853</v>
      </c>
      <c r="G58" s="38">
        <f t="shared" si="76"/>
        <v>179.96411463836307</v>
      </c>
      <c r="H58" s="38">
        <f t="shared" si="76"/>
        <v>273.20976989140092</v>
      </c>
      <c r="I58" s="48">
        <f t="shared" ref="I58:J58" si="77">ROUND(I19,-3)</f>
        <v>625000</v>
      </c>
      <c r="J58" s="118">
        <f t="shared" si="77"/>
        <v>173000</v>
      </c>
      <c r="K58" s="145">
        <f t="shared" ref="K58:Q58" si="78">K19</f>
        <v>0.28549012098867182</v>
      </c>
      <c r="L58" s="60">
        <f t="shared" si="78"/>
        <v>0.25</v>
      </c>
      <c r="M58" s="38">
        <f t="shared" si="78"/>
        <v>250</v>
      </c>
      <c r="N58" s="38">
        <f t="shared" si="78"/>
        <v>2</v>
      </c>
      <c r="O58" s="38">
        <f t="shared" si="78"/>
        <v>483.40510749601185</v>
      </c>
      <c r="P58" s="38">
        <f t="shared" si="78"/>
        <v>179.96411463836307</v>
      </c>
      <c r="Q58" s="38">
        <f t="shared" si="78"/>
        <v>663.36922213437492</v>
      </c>
      <c r="R58" s="48">
        <f t="shared" ref="R58:U58" si="79">ROUND(R19,-3)</f>
        <v>24000</v>
      </c>
      <c r="S58" s="118">
        <f t="shared" si="79"/>
        <v>7000</v>
      </c>
      <c r="T58" s="173">
        <f t="shared" si="79"/>
        <v>648000</v>
      </c>
      <c r="U58" s="57">
        <f t="shared" si="79"/>
        <v>192000</v>
      </c>
    </row>
    <row r="59" spans="1:21" x14ac:dyDescent="0.25">
      <c r="A59" s="142">
        <v>2035</v>
      </c>
      <c r="B59" s="41">
        <f t="shared" ref="B59:H59" si="80">B20</f>
        <v>20.38</v>
      </c>
      <c r="C59" s="47">
        <f t="shared" si="80"/>
        <v>0.22441958482349836</v>
      </c>
      <c r="D59" s="38">
        <f t="shared" si="80"/>
        <v>250</v>
      </c>
      <c r="E59" s="38">
        <f t="shared" si="80"/>
        <v>2</v>
      </c>
      <c r="F59" s="38">
        <f t="shared" si="80"/>
        <v>94.290040712264982</v>
      </c>
      <c r="G59" s="38">
        <f t="shared" si="80"/>
        <v>181.97977857467143</v>
      </c>
      <c r="H59" s="38">
        <f t="shared" si="80"/>
        <v>276.26981928693641</v>
      </c>
      <c r="I59" s="48">
        <f t="shared" ref="I59:J59" si="81">ROUND(I20,-3)</f>
        <v>632000</v>
      </c>
      <c r="J59" s="118">
        <f t="shared" si="81"/>
        <v>163000</v>
      </c>
      <c r="K59" s="145">
        <f t="shared" ref="K59:Q59" si="82">K20</f>
        <v>0.28549012098867182</v>
      </c>
      <c r="L59" s="60">
        <f t="shared" si="82"/>
        <v>0.25</v>
      </c>
      <c r="M59" s="38">
        <f t="shared" si="82"/>
        <v>250</v>
      </c>
      <c r="N59" s="38">
        <f t="shared" si="82"/>
        <v>2</v>
      </c>
      <c r="O59" s="38">
        <f t="shared" si="82"/>
        <v>488.81942158726827</v>
      </c>
      <c r="P59" s="38">
        <f t="shared" si="82"/>
        <v>181.97977857467143</v>
      </c>
      <c r="Q59" s="38">
        <f t="shared" si="82"/>
        <v>670.79920016193967</v>
      </c>
      <c r="R59" s="48">
        <f t="shared" ref="R59:U59" si="83">ROUND(R20,-3)</f>
        <v>24000</v>
      </c>
      <c r="S59" s="118">
        <f t="shared" si="83"/>
        <v>6000</v>
      </c>
      <c r="T59" s="173">
        <f t="shared" si="83"/>
        <v>656000</v>
      </c>
      <c r="U59" s="57">
        <f t="shared" si="83"/>
        <v>181000</v>
      </c>
    </row>
    <row r="60" spans="1:21" x14ac:dyDescent="0.25">
      <c r="A60" s="142">
        <v>2036</v>
      </c>
      <c r="B60" s="41">
        <f t="shared" ref="B60:H60" si="84">B21</f>
        <v>20.38</v>
      </c>
      <c r="C60" s="47">
        <f t="shared" si="84"/>
        <v>0.22441958482349836</v>
      </c>
      <c r="D60" s="38">
        <f t="shared" si="84"/>
        <v>250</v>
      </c>
      <c r="E60" s="38">
        <f t="shared" si="84"/>
        <v>2</v>
      </c>
      <c r="F60" s="38">
        <f t="shared" si="84"/>
        <v>95.346123670796345</v>
      </c>
      <c r="G60" s="38">
        <f t="shared" si="84"/>
        <v>184.01801868463696</v>
      </c>
      <c r="H60" s="38">
        <f t="shared" si="84"/>
        <v>279.36414235543327</v>
      </c>
      <c r="I60" s="48">
        <f t="shared" ref="I60:J60" si="85">ROUND(I21,-3)</f>
        <v>639000</v>
      </c>
      <c r="J60" s="118">
        <f t="shared" si="85"/>
        <v>154000</v>
      </c>
      <c r="K60" s="145">
        <f t="shared" ref="K60:Q60" si="86">K21</f>
        <v>0.28549012098867182</v>
      </c>
      <c r="L60" s="60">
        <f t="shared" si="86"/>
        <v>0.25</v>
      </c>
      <c r="M60" s="38">
        <f t="shared" si="86"/>
        <v>250</v>
      </c>
      <c r="N60" s="38">
        <f t="shared" si="86"/>
        <v>2</v>
      </c>
      <c r="O60" s="38">
        <f t="shared" si="86"/>
        <v>494.29437797754929</v>
      </c>
      <c r="P60" s="38">
        <f t="shared" si="86"/>
        <v>184.01801868463696</v>
      </c>
      <c r="Q60" s="38">
        <f t="shared" si="86"/>
        <v>678.3123966621863</v>
      </c>
      <c r="R60" s="48">
        <f t="shared" ref="R60:U60" si="87">ROUND(R21,-3)</f>
        <v>24000</v>
      </c>
      <c r="S60" s="118">
        <f t="shared" si="87"/>
        <v>6000</v>
      </c>
      <c r="T60" s="173">
        <f t="shared" si="87"/>
        <v>663000</v>
      </c>
      <c r="U60" s="57">
        <f t="shared" si="87"/>
        <v>171000</v>
      </c>
    </row>
    <row r="61" spans="1:21" x14ac:dyDescent="0.25">
      <c r="A61" s="142">
        <v>2037</v>
      </c>
      <c r="B61" s="41">
        <f t="shared" ref="B61:H61" si="88">B22</f>
        <v>20.38</v>
      </c>
      <c r="C61" s="47">
        <f t="shared" si="88"/>
        <v>0.22441958482349836</v>
      </c>
      <c r="D61" s="38">
        <f t="shared" si="88"/>
        <v>250</v>
      </c>
      <c r="E61" s="38">
        <f t="shared" si="88"/>
        <v>2</v>
      </c>
      <c r="F61" s="38">
        <f t="shared" si="88"/>
        <v>96.414035144904489</v>
      </c>
      <c r="G61" s="38">
        <f t="shared" si="88"/>
        <v>186.07908782966567</v>
      </c>
      <c r="H61" s="38">
        <f t="shared" si="88"/>
        <v>282.49312297457016</v>
      </c>
      <c r="I61" s="48">
        <f t="shared" ref="I61:J61" si="89">ROUND(I22,-3)</f>
        <v>646000</v>
      </c>
      <c r="J61" s="118">
        <f t="shared" si="89"/>
        <v>146000</v>
      </c>
      <c r="K61" s="145">
        <f t="shared" ref="K61:Q61" si="90">K22</f>
        <v>0.28549012098867182</v>
      </c>
      <c r="L61" s="60">
        <f t="shared" si="90"/>
        <v>0.25</v>
      </c>
      <c r="M61" s="38">
        <f t="shared" si="90"/>
        <v>250</v>
      </c>
      <c r="N61" s="38">
        <f t="shared" si="90"/>
        <v>2</v>
      </c>
      <c r="O61" s="38">
        <f t="shared" si="90"/>
        <v>499.83065588279413</v>
      </c>
      <c r="P61" s="38">
        <f t="shared" si="90"/>
        <v>186.07908782966567</v>
      </c>
      <c r="Q61" s="38">
        <f t="shared" si="90"/>
        <v>685.90974371245977</v>
      </c>
      <c r="R61" s="48">
        <f t="shared" ref="R61:U61" si="91">ROUND(R22,-3)</f>
        <v>24000</v>
      </c>
      <c r="S61" s="118">
        <f t="shared" si="91"/>
        <v>6000</v>
      </c>
      <c r="T61" s="173">
        <f t="shared" si="91"/>
        <v>670000</v>
      </c>
      <c r="U61" s="57">
        <f t="shared" si="91"/>
        <v>162000</v>
      </c>
    </row>
    <row r="62" spans="1:21" x14ac:dyDescent="0.25">
      <c r="A62" s="142">
        <v>2038</v>
      </c>
      <c r="B62" s="41">
        <f t="shared" ref="B62:H62" si="92">B23</f>
        <v>20.38</v>
      </c>
      <c r="C62" s="47">
        <f t="shared" si="92"/>
        <v>0.22441958482349836</v>
      </c>
      <c r="D62" s="38">
        <f t="shared" si="92"/>
        <v>250</v>
      </c>
      <c r="E62" s="38">
        <f t="shared" si="92"/>
        <v>2</v>
      </c>
      <c r="F62" s="38">
        <f t="shared" si="92"/>
        <v>97.493907618292155</v>
      </c>
      <c r="G62" s="38">
        <f t="shared" si="92"/>
        <v>188.16324170330387</v>
      </c>
      <c r="H62" s="38">
        <f t="shared" si="92"/>
        <v>285.65714932159602</v>
      </c>
      <c r="I62" s="48">
        <f t="shared" ref="I62:J62" si="93">ROUND(I23,-3)</f>
        <v>653000</v>
      </c>
      <c r="J62" s="118">
        <f t="shared" si="93"/>
        <v>138000</v>
      </c>
      <c r="K62" s="145">
        <f t="shared" ref="K62:Q62" si="94">K23</f>
        <v>0.28549012098867182</v>
      </c>
      <c r="L62" s="60">
        <f t="shared" si="94"/>
        <v>0.25</v>
      </c>
      <c r="M62" s="38">
        <f t="shared" si="94"/>
        <v>250</v>
      </c>
      <c r="N62" s="38">
        <f t="shared" si="94"/>
        <v>2</v>
      </c>
      <c r="O62" s="38">
        <f t="shared" si="94"/>
        <v>505.42894212640908</v>
      </c>
      <c r="P62" s="38">
        <f t="shared" si="94"/>
        <v>188.16324170330387</v>
      </c>
      <c r="Q62" s="38">
        <f t="shared" si="94"/>
        <v>693.59218382971289</v>
      </c>
      <c r="R62" s="48">
        <f t="shared" ref="R62:U62" si="95">ROUND(R23,-3)</f>
        <v>25000</v>
      </c>
      <c r="S62" s="118">
        <f t="shared" si="95"/>
        <v>5000</v>
      </c>
      <c r="T62" s="173">
        <f t="shared" si="95"/>
        <v>678000</v>
      </c>
      <c r="U62" s="57">
        <f t="shared" si="95"/>
        <v>153000</v>
      </c>
    </row>
    <row r="63" spans="1:21" x14ac:dyDescent="0.25">
      <c r="A63" s="142">
        <v>2039</v>
      </c>
      <c r="B63" s="41">
        <f t="shared" ref="B63:H63" si="96">B24</f>
        <v>20.38</v>
      </c>
      <c r="C63" s="47">
        <f t="shared" si="96"/>
        <v>0.22441958482349836</v>
      </c>
      <c r="D63" s="38">
        <f t="shared" si="96"/>
        <v>250</v>
      </c>
      <c r="E63" s="38">
        <f t="shared" si="96"/>
        <v>2</v>
      </c>
      <c r="F63" s="38">
        <f t="shared" si="96"/>
        <v>98.585875058528032</v>
      </c>
      <c r="G63" s="38">
        <f t="shared" si="96"/>
        <v>190.27073886295912</v>
      </c>
      <c r="H63" s="38">
        <f t="shared" si="96"/>
        <v>288.85661392148717</v>
      </c>
      <c r="I63" s="48">
        <f t="shared" ref="I63:J63" si="97">ROUND(I24,-3)</f>
        <v>661000</v>
      </c>
      <c r="J63" s="118">
        <f t="shared" si="97"/>
        <v>130000</v>
      </c>
      <c r="K63" s="145">
        <f t="shared" ref="K63:Q63" si="98">K24</f>
        <v>0.28549012098867182</v>
      </c>
      <c r="L63" s="60">
        <f t="shared" si="98"/>
        <v>0.25</v>
      </c>
      <c r="M63" s="38">
        <f t="shared" si="98"/>
        <v>250</v>
      </c>
      <c r="N63" s="38">
        <f t="shared" si="98"/>
        <v>2</v>
      </c>
      <c r="O63" s="38">
        <f t="shared" si="98"/>
        <v>511.08993122447407</v>
      </c>
      <c r="P63" s="38">
        <f t="shared" si="98"/>
        <v>190.27073886295912</v>
      </c>
      <c r="Q63" s="38">
        <f t="shared" si="98"/>
        <v>701.36067008743316</v>
      </c>
      <c r="R63" s="48">
        <f t="shared" ref="R63:U63" si="99">ROUND(R24,-3)</f>
        <v>25000</v>
      </c>
      <c r="S63" s="118">
        <f t="shared" si="99"/>
        <v>5000</v>
      </c>
      <c r="T63" s="173">
        <f t="shared" si="99"/>
        <v>686000</v>
      </c>
      <c r="U63" s="57">
        <f t="shared" si="99"/>
        <v>145000</v>
      </c>
    </row>
    <row r="64" spans="1:21" x14ac:dyDescent="0.25">
      <c r="A64" s="142">
        <v>2040</v>
      </c>
      <c r="B64" s="41">
        <f t="shared" ref="B64:H64" si="100">B25</f>
        <v>20.38</v>
      </c>
      <c r="C64" s="47">
        <f t="shared" si="100"/>
        <v>0.22441958482349836</v>
      </c>
      <c r="D64" s="38">
        <f t="shared" si="100"/>
        <v>250</v>
      </c>
      <c r="E64" s="38">
        <f t="shared" si="100"/>
        <v>2</v>
      </c>
      <c r="F64" s="38">
        <f t="shared" si="100"/>
        <v>99.690072933666613</v>
      </c>
      <c r="G64" s="38">
        <f t="shared" si="100"/>
        <v>192.40184076197659</v>
      </c>
      <c r="H64" s="38">
        <f t="shared" si="100"/>
        <v>292.0919136956432</v>
      </c>
      <c r="I64" s="48">
        <f t="shared" ref="I64:J64" si="101">ROUND(I25,-3)</f>
        <v>668000</v>
      </c>
      <c r="J64" s="118">
        <f t="shared" si="101"/>
        <v>123000</v>
      </c>
      <c r="K64" s="145">
        <f t="shared" ref="K64:Q64" si="102">K25</f>
        <v>0.28549012098867182</v>
      </c>
      <c r="L64" s="60">
        <f t="shared" si="102"/>
        <v>0.25</v>
      </c>
      <c r="M64" s="38">
        <f t="shared" si="102"/>
        <v>250</v>
      </c>
      <c r="N64" s="38">
        <f t="shared" si="102"/>
        <v>2</v>
      </c>
      <c r="O64" s="38">
        <f t="shared" si="102"/>
        <v>516.81432547190309</v>
      </c>
      <c r="P64" s="38">
        <f t="shared" si="102"/>
        <v>192.40184076197659</v>
      </c>
      <c r="Q64" s="38">
        <f t="shared" si="102"/>
        <v>709.21616623387968</v>
      </c>
      <c r="R64" s="48">
        <f t="shared" ref="R64:U64" si="103">ROUND(R25,-3)</f>
        <v>25000</v>
      </c>
      <c r="S64" s="118">
        <f t="shared" si="103"/>
        <v>5000</v>
      </c>
      <c r="T64" s="173">
        <f t="shared" si="103"/>
        <v>693000</v>
      </c>
      <c r="U64" s="57">
        <f t="shared" si="103"/>
        <v>137000</v>
      </c>
    </row>
    <row r="65" spans="1:21" x14ac:dyDescent="0.25">
      <c r="A65" s="142">
        <v>2041</v>
      </c>
      <c r="B65" s="41">
        <f t="shared" ref="B65:H65" si="104">B26</f>
        <v>20.38</v>
      </c>
      <c r="C65" s="47">
        <f t="shared" si="104"/>
        <v>0.22441958482349836</v>
      </c>
      <c r="D65" s="38">
        <f t="shared" si="104"/>
        <v>250</v>
      </c>
      <c r="E65" s="38">
        <f t="shared" si="104"/>
        <v>2</v>
      </c>
      <c r="F65" s="38">
        <f t="shared" si="104"/>
        <v>100.80663822905416</v>
      </c>
      <c r="G65" s="38">
        <f t="shared" si="104"/>
        <v>194.55681178207453</v>
      </c>
      <c r="H65" s="38">
        <f t="shared" si="104"/>
        <v>295.36345001112869</v>
      </c>
      <c r="I65" s="48">
        <f t="shared" ref="I65:J65" si="105">ROUND(I26,-3)</f>
        <v>675000</v>
      </c>
      <c r="J65" s="118">
        <f t="shared" si="105"/>
        <v>116000</v>
      </c>
      <c r="K65" s="145">
        <f t="shared" ref="K65:Q65" si="106">K26</f>
        <v>0.28549012098867182</v>
      </c>
      <c r="L65" s="60">
        <f t="shared" si="106"/>
        <v>0.25</v>
      </c>
      <c r="M65" s="38">
        <f t="shared" si="106"/>
        <v>250</v>
      </c>
      <c r="N65" s="38">
        <f t="shared" si="106"/>
        <v>2</v>
      </c>
      <c r="O65" s="38">
        <f t="shared" si="106"/>
        <v>522.60283502957009</v>
      </c>
      <c r="P65" s="38">
        <f t="shared" si="106"/>
        <v>194.55681178207453</v>
      </c>
      <c r="Q65" s="38">
        <f t="shared" si="106"/>
        <v>717.15964681164462</v>
      </c>
      <c r="R65" s="48">
        <f t="shared" ref="R65:U65" si="107">ROUND(R26,-3)</f>
        <v>26000</v>
      </c>
      <c r="S65" s="118">
        <f t="shared" si="107"/>
        <v>4000</v>
      </c>
      <c r="T65" s="173">
        <f t="shared" si="107"/>
        <v>701000</v>
      </c>
      <c r="U65" s="57">
        <f t="shared" si="107"/>
        <v>129000</v>
      </c>
    </row>
    <row r="66" spans="1:21" x14ac:dyDescent="0.25">
      <c r="A66" s="142">
        <v>2042</v>
      </c>
      <c r="B66" s="41">
        <f t="shared" ref="B66:H66" si="108">B27</f>
        <v>20.38</v>
      </c>
      <c r="C66" s="47">
        <f t="shared" si="108"/>
        <v>0.22441958482349836</v>
      </c>
      <c r="D66" s="38">
        <f t="shared" si="108"/>
        <v>250</v>
      </c>
      <c r="E66" s="38">
        <f t="shared" si="108"/>
        <v>2</v>
      </c>
      <c r="F66" s="38">
        <f t="shared" si="108"/>
        <v>101.93570946432293</v>
      </c>
      <c r="G66" s="38">
        <f t="shared" si="108"/>
        <v>196.73591926614327</v>
      </c>
      <c r="H66" s="38">
        <f t="shared" si="108"/>
        <v>298.67162873046618</v>
      </c>
      <c r="I66" s="48">
        <f t="shared" ref="I66:J66" si="109">ROUND(I27,-3)</f>
        <v>683000</v>
      </c>
      <c r="J66" s="118">
        <f t="shared" si="109"/>
        <v>110000</v>
      </c>
      <c r="K66" s="145">
        <f t="shared" ref="K66:Q66" si="110">K27</f>
        <v>0.28549012098867182</v>
      </c>
      <c r="L66" s="60">
        <f t="shared" si="110"/>
        <v>0.25</v>
      </c>
      <c r="M66" s="38">
        <f t="shared" si="110"/>
        <v>250</v>
      </c>
      <c r="N66" s="38">
        <f t="shared" si="110"/>
        <v>2</v>
      </c>
      <c r="O66" s="38">
        <f t="shared" si="110"/>
        <v>528.45617801241076</v>
      </c>
      <c r="P66" s="38">
        <f t="shared" si="110"/>
        <v>196.73591926614327</v>
      </c>
      <c r="Q66" s="38">
        <f t="shared" si="110"/>
        <v>725.192097278554</v>
      </c>
      <c r="R66" s="48">
        <f t="shared" ref="R66:U66" si="111">ROUND(R27,-3)</f>
        <v>26000</v>
      </c>
      <c r="S66" s="118">
        <f t="shared" si="111"/>
        <v>4000</v>
      </c>
      <c r="T66" s="173">
        <f t="shared" si="111"/>
        <v>709000</v>
      </c>
      <c r="U66" s="57">
        <f t="shared" si="111"/>
        <v>122000</v>
      </c>
    </row>
    <row r="67" spans="1:21" x14ac:dyDescent="0.25">
      <c r="A67" s="142">
        <v>2043</v>
      </c>
      <c r="B67" s="41">
        <f t="shared" ref="B67:H67" si="112">B28</f>
        <v>20.38</v>
      </c>
      <c r="C67" s="47">
        <f t="shared" si="112"/>
        <v>0.22441958482349836</v>
      </c>
      <c r="D67" s="38">
        <f t="shared" si="112"/>
        <v>250</v>
      </c>
      <c r="E67" s="38">
        <f t="shared" si="112"/>
        <v>2</v>
      </c>
      <c r="F67" s="38">
        <f t="shared" si="112"/>
        <v>103.07742671057576</v>
      </c>
      <c r="G67" s="38">
        <f t="shared" si="112"/>
        <v>198.93943355141124</v>
      </c>
      <c r="H67" s="38">
        <f t="shared" si="112"/>
        <v>302.01686026198701</v>
      </c>
      <c r="I67" s="48">
        <f t="shared" ref="I67:J67" si="113">ROUND(I28,-3)</f>
        <v>691000</v>
      </c>
      <c r="J67" s="118">
        <f t="shared" si="113"/>
        <v>104000</v>
      </c>
      <c r="K67" s="145">
        <f t="shared" ref="K67:Q67" si="114">K28</f>
        <v>0.28549012098867182</v>
      </c>
      <c r="L67" s="60">
        <f t="shared" si="114"/>
        <v>0.25</v>
      </c>
      <c r="M67" s="38">
        <f t="shared" si="114"/>
        <v>250</v>
      </c>
      <c r="N67" s="38">
        <f t="shared" si="114"/>
        <v>2</v>
      </c>
      <c r="O67" s="38">
        <f t="shared" si="114"/>
        <v>534.37508057851096</v>
      </c>
      <c r="P67" s="38">
        <f t="shared" si="114"/>
        <v>198.93943355141124</v>
      </c>
      <c r="Q67" s="38">
        <f t="shared" si="114"/>
        <v>733.31451412992215</v>
      </c>
      <c r="R67" s="48">
        <f t="shared" ref="R67:U67" si="115">ROUND(R28,-3)</f>
        <v>26000</v>
      </c>
      <c r="S67" s="118">
        <f t="shared" si="115"/>
        <v>4000</v>
      </c>
      <c r="T67" s="173">
        <f t="shared" si="115"/>
        <v>717000</v>
      </c>
      <c r="U67" s="57">
        <f t="shared" si="115"/>
        <v>115000</v>
      </c>
    </row>
    <row r="68" spans="1:21" x14ac:dyDescent="0.25">
      <c r="A68" s="142">
        <v>2044</v>
      </c>
      <c r="B68" s="41">
        <f t="shared" ref="B68:H68" si="116">B29</f>
        <v>20.38</v>
      </c>
      <c r="C68" s="47">
        <f t="shared" si="116"/>
        <v>0.22441958482349836</v>
      </c>
      <c r="D68" s="38">
        <f t="shared" si="116"/>
        <v>250</v>
      </c>
      <c r="E68" s="38">
        <f t="shared" si="116"/>
        <v>2</v>
      </c>
      <c r="F68" s="38">
        <f t="shared" si="116"/>
        <v>104.23193160776312</v>
      </c>
      <c r="G68" s="38">
        <f t="shared" si="116"/>
        <v>201.16762800298284</v>
      </c>
      <c r="H68" s="38">
        <f t="shared" si="116"/>
        <v>305.39955961074594</v>
      </c>
      <c r="I68" s="48">
        <f t="shared" ref="I68:J68" si="117">ROUND(I29,-3)</f>
        <v>698000</v>
      </c>
      <c r="J68" s="118">
        <f t="shared" si="117"/>
        <v>98000</v>
      </c>
      <c r="K68" s="145">
        <f t="shared" ref="K68:Q68" si="118">K29</f>
        <v>0.28549012098867182</v>
      </c>
      <c r="L68" s="60">
        <f t="shared" si="118"/>
        <v>0.25</v>
      </c>
      <c r="M68" s="38">
        <f t="shared" si="118"/>
        <v>250</v>
      </c>
      <c r="N68" s="38">
        <f t="shared" si="118"/>
        <v>2</v>
      </c>
      <c r="O68" s="38">
        <f t="shared" si="118"/>
        <v>540.36027701919284</v>
      </c>
      <c r="P68" s="38">
        <f t="shared" si="118"/>
        <v>201.16762800298284</v>
      </c>
      <c r="Q68" s="38">
        <f t="shared" si="118"/>
        <v>741.52790502217567</v>
      </c>
      <c r="R68" s="48">
        <f t="shared" ref="R68:U68" si="119">ROUND(R29,-3)</f>
        <v>26000</v>
      </c>
      <c r="S68" s="118">
        <f t="shared" si="119"/>
        <v>4000</v>
      </c>
      <c r="T68" s="173">
        <f t="shared" si="119"/>
        <v>725000</v>
      </c>
      <c r="U68" s="57">
        <f t="shared" si="119"/>
        <v>109000</v>
      </c>
    </row>
    <row r="69" spans="1:21" x14ac:dyDescent="0.25">
      <c r="A69" s="142">
        <v>2045</v>
      </c>
      <c r="B69" s="41">
        <f t="shared" ref="B69:H69" si="120">B30</f>
        <v>20.38</v>
      </c>
      <c r="C69" s="47">
        <f t="shared" si="120"/>
        <v>0.22441958482349836</v>
      </c>
      <c r="D69" s="38">
        <f t="shared" si="120"/>
        <v>250</v>
      </c>
      <c r="E69" s="38">
        <f t="shared" si="120"/>
        <v>2</v>
      </c>
      <c r="F69" s="38">
        <f t="shared" si="120"/>
        <v>105.39936738225468</v>
      </c>
      <c r="G69" s="38">
        <f t="shared" si="120"/>
        <v>203.42077904775155</v>
      </c>
      <c r="H69" s="38">
        <f t="shared" si="120"/>
        <v>308.82014643000622</v>
      </c>
      <c r="I69" s="48">
        <f t="shared" ref="I69:J69" si="121">ROUND(I30,-3)</f>
        <v>706000</v>
      </c>
      <c r="J69" s="118">
        <f t="shared" si="121"/>
        <v>93000</v>
      </c>
      <c r="K69" s="145">
        <f t="shared" ref="K69:Q69" si="122">K30</f>
        <v>0.28549012098867182</v>
      </c>
      <c r="L69" s="60">
        <f t="shared" si="122"/>
        <v>0.25</v>
      </c>
      <c r="M69" s="38">
        <f t="shared" si="122"/>
        <v>250</v>
      </c>
      <c r="N69" s="38">
        <f t="shared" si="122"/>
        <v>2</v>
      </c>
      <c r="O69" s="38">
        <f t="shared" si="122"/>
        <v>546.4125098501097</v>
      </c>
      <c r="P69" s="38">
        <f t="shared" si="122"/>
        <v>203.42077904775155</v>
      </c>
      <c r="Q69" s="38">
        <f t="shared" si="122"/>
        <v>749.83328889786128</v>
      </c>
      <c r="R69" s="48">
        <f t="shared" ref="R69:U69" si="123">ROUND(R30,-3)</f>
        <v>27000</v>
      </c>
      <c r="S69" s="118">
        <f t="shared" si="123"/>
        <v>4000</v>
      </c>
      <c r="T69" s="173">
        <f t="shared" si="123"/>
        <v>733000</v>
      </c>
      <c r="U69" s="57">
        <f t="shared" si="123"/>
        <v>103000</v>
      </c>
    </row>
    <row r="70" spans="1:21" x14ac:dyDescent="0.25">
      <c r="A70" s="142">
        <v>2046</v>
      </c>
      <c r="B70" s="41">
        <f t="shared" ref="B70:H70" si="124">B31</f>
        <v>20.38</v>
      </c>
      <c r="C70" s="47">
        <f t="shared" si="124"/>
        <v>0.22441958482349836</v>
      </c>
      <c r="D70" s="38">
        <f t="shared" si="124"/>
        <v>250</v>
      </c>
      <c r="E70" s="38">
        <f t="shared" si="124"/>
        <v>2</v>
      </c>
      <c r="F70" s="38">
        <f t="shared" si="124"/>
        <v>106.57987886460795</v>
      </c>
      <c r="G70" s="38">
        <f t="shared" si="124"/>
        <v>205.69916620869336</v>
      </c>
      <c r="H70" s="38">
        <f t="shared" si="124"/>
        <v>312.27904507330129</v>
      </c>
      <c r="I70" s="48">
        <f t="shared" ref="I70:J70" si="125">ROUND(I31,-3)</f>
        <v>714000</v>
      </c>
      <c r="J70" s="118">
        <f t="shared" si="125"/>
        <v>88000</v>
      </c>
      <c r="K70" s="145">
        <f t="shared" ref="K70:Q70" si="126">K31</f>
        <v>0.28549012098867182</v>
      </c>
      <c r="L70" s="60">
        <f t="shared" si="126"/>
        <v>0.25</v>
      </c>
      <c r="M70" s="38">
        <f t="shared" si="126"/>
        <v>250</v>
      </c>
      <c r="N70" s="38">
        <f t="shared" si="126"/>
        <v>2</v>
      </c>
      <c r="O70" s="38">
        <f t="shared" si="126"/>
        <v>552.53252990336205</v>
      </c>
      <c r="P70" s="38">
        <f t="shared" si="126"/>
        <v>205.69916620869336</v>
      </c>
      <c r="Q70" s="38">
        <f t="shared" si="126"/>
        <v>758.23169611205537</v>
      </c>
      <c r="R70" s="48">
        <f t="shared" ref="R70:U70" si="127">ROUND(R31,-3)</f>
        <v>27000</v>
      </c>
      <c r="S70" s="118">
        <f t="shared" si="127"/>
        <v>3000</v>
      </c>
      <c r="T70" s="173">
        <f t="shared" si="127"/>
        <v>741000</v>
      </c>
      <c r="U70" s="57">
        <f t="shared" si="127"/>
        <v>97000</v>
      </c>
    </row>
    <row r="71" spans="1:21" x14ac:dyDescent="0.25">
      <c r="A71" s="142">
        <v>2047</v>
      </c>
      <c r="B71" s="41">
        <f t="shared" ref="B71:H71" si="128">B32</f>
        <v>20.38</v>
      </c>
      <c r="C71" s="47">
        <f t="shared" si="128"/>
        <v>0.22441958482349836</v>
      </c>
      <c r="D71" s="38">
        <f t="shared" si="128"/>
        <v>250</v>
      </c>
      <c r="E71" s="38">
        <f t="shared" si="128"/>
        <v>2</v>
      </c>
      <c r="F71" s="38">
        <f t="shared" si="128"/>
        <v>107.7736125075356</v>
      </c>
      <c r="G71" s="38">
        <f t="shared" si="128"/>
        <v>208.00307213954372</v>
      </c>
      <c r="H71" s="38">
        <f t="shared" si="128"/>
        <v>315.77668464707932</v>
      </c>
      <c r="I71" s="48">
        <f t="shared" ref="I71:J71" si="129">ROUND(I32,-3)</f>
        <v>722000</v>
      </c>
      <c r="J71" s="118">
        <f t="shared" si="129"/>
        <v>83000</v>
      </c>
      <c r="K71" s="145">
        <f t="shared" ref="K71:Q71" si="130">K32</f>
        <v>0.28549012098867182</v>
      </c>
      <c r="L71" s="60">
        <f t="shared" si="130"/>
        <v>0.25</v>
      </c>
      <c r="M71" s="38">
        <f t="shared" si="130"/>
        <v>250</v>
      </c>
      <c r="N71" s="38">
        <f t="shared" si="130"/>
        <v>2</v>
      </c>
      <c r="O71" s="38">
        <f t="shared" si="130"/>
        <v>558.72109642064493</v>
      </c>
      <c r="P71" s="38">
        <f t="shared" si="130"/>
        <v>208.00307213954372</v>
      </c>
      <c r="Q71" s="38">
        <f t="shared" si="130"/>
        <v>766.72416856018867</v>
      </c>
      <c r="R71" s="48">
        <f t="shared" ref="R71:U71" si="131">ROUND(R32,-3)</f>
        <v>27000</v>
      </c>
      <c r="S71" s="118">
        <f t="shared" si="131"/>
        <v>3000</v>
      </c>
      <c r="T71" s="173">
        <f t="shared" si="131"/>
        <v>749000</v>
      </c>
      <c r="U71" s="57">
        <f t="shared" si="131"/>
        <v>92000</v>
      </c>
    </row>
    <row r="72" spans="1:21" x14ac:dyDescent="0.25">
      <c r="A72" s="142">
        <v>2048</v>
      </c>
      <c r="B72" s="41">
        <f t="shared" ref="B72:H72" si="132">B33</f>
        <v>20.38</v>
      </c>
      <c r="C72" s="47">
        <f t="shared" si="132"/>
        <v>0.22441958482349836</v>
      </c>
      <c r="D72" s="38">
        <f t="shared" si="132"/>
        <v>250</v>
      </c>
      <c r="E72" s="38">
        <f t="shared" si="132"/>
        <v>2</v>
      </c>
      <c r="F72" s="38">
        <f t="shared" si="132"/>
        <v>108.98071640407433</v>
      </c>
      <c r="G72" s="38">
        <f t="shared" si="132"/>
        <v>210.33278265986348</v>
      </c>
      <c r="H72" s="38">
        <f t="shared" si="132"/>
        <v>319.3134990639378</v>
      </c>
      <c r="I72" s="48">
        <f t="shared" ref="I72:J72" si="133">ROUND(I33,-3)</f>
        <v>730000</v>
      </c>
      <c r="J72" s="118">
        <f t="shared" si="133"/>
        <v>78000</v>
      </c>
      <c r="K72" s="145">
        <f t="shared" ref="K72:Q72" si="134">K33</f>
        <v>0.28549012098867182</v>
      </c>
      <c r="L72" s="60">
        <f t="shared" si="134"/>
        <v>0.25</v>
      </c>
      <c r="M72" s="38">
        <f t="shared" si="134"/>
        <v>250</v>
      </c>
      <c r="N72" s="38">
        <f t="shared" si="134"/>
        <v>2</v>
      </c>
      <c r="O72" s="38">
        <f t="shared" si="134"/>
        <v>564.97897714743783</v>
      </c>
      <c r="P72" s="38">
        <f t="shared" si="134"/>
        <v>210.33278265986348</v>
      </c>
      <c r="Q72" s="38">
        <f t="shared" si="134"/>
        <v>775.31175980730131</v>
      </c>
      <c r="R72" s="48">
        <f t="shared" ref="R72:U72" si="135">ROUND(R33,-3)</f>
        <v>28000</v>
      </c>
      <c r="S72" s="118">
        <f t="shared" si="135"/>
        <v>3000</v>
      </c>
      <c r="T72" s="173">
        <f t="shared" si="135"/>
        <v>758000</v>
      </c>
      <c r="U72" s="57">
        <f t="shared" si="135"/>
        <v>87000</v>
      </c>
    </row>
    <row r="73" spans="1:21" ht="15.75" thickBot="1" x14ac:dyDescent="0.3">
      <c r="A73" s="142">
        <v>2049</v>
      </c>
      <c r="B73" s="41">
        <f t="shared" ref="B73:H73" si="136">B34</f>
        <v>20.38</v>
      </c>
      <c r="C73" s="47">
        <f t="shared" si="136"/>
        <v>0.22441958482349836</v>
      </c>
      <c r="D73" s="38">
        <f t="shared" si="136"/>
        <v>250</v>
      </c>
      <c r="E73" s="38">
        <f t="shared" si="136"/>
        <v>2</v>
      </c>
      <c r="F73" s="38">
        <f t="shared" si="136"/>
        <v>110.20134030595702</v>
      </c>
      <c r="G73" s="38">
        <f t="shared" si="136"/>
        <v>212.68858679049706</v>
      </c>
      <c r="H73" s="38">
        <f t="shared" si="136"/>
        <v>322.88992709645407</v>
      </c>
      <c r="I73" s="48">
        <f t="shared" ref="I73:J73" si="137">ROUND(I34,-3)</f>
        <v>738000</v>
      </c>
      <c r="J73" s="118">
        <f t="shared" si="137"/>
        <v>74000</v>
      </c>
      <c r="K73" s="145">
        <f t="shared" ref="K73:Q73" si="138">K34</f>
        <v>0.28549012098867182</v>
      </c>
      <c r="L73" s="60">
        <f t="shared" si="138"/>
        <v>0.25</v>
      </c>
      <c r="M73" s="38">
        <f t="shared" si="138"/>
        <v>250</v>
      </c>
      <c r="N73" s="38">
        <f t="shared" si="138"/>
        <v>2</v>
      </c>
      <c r="O73" s="38">
        <f t="shared" si="138"/>
        <v>571.30694842825073</v>
      </c>
      <c r="P73" s="38">
        <f t="shared" si="138"/>
        <v>212.68858679049706</v>
      </c>
      <c r="Q73" s="38">
        <f t="shared" si="138"/>
        <v>783.99553521874782</v>
      </c>
      <c r="R73" s="48">
        <f t="shared" ref="R73:U73" si="139">ROUND(R34,-3)</f>
        <v>28000</v>
      </c>
      <c r="S73" s="118">
        <f t="shared" si="139"/>
        <v>3000</v>
      </c>
      <c r="T73" s="173">
        <f t="shared" si="139"/>
        <v>766000</v>
      </c>
      <c r="U73" s="57">
        <f t="shared" si="139"/>
        <v>82000</v>
      </c>
    </row>
    <row r="74" spans="1:21" ht="15.75" thickBot="1" x14ac:dyDescent="0.3">
      <c r="A74" s="146" t="s">
        <v>165</v>
      </c>
      <c r="B74" s="147">
        <f t="shared" ref="B74:H74" si="140">B35</f>
        <v>0</v>
      </c>
      <c r="C74" s="125">
        <f t="shared" si="140"/>
        <v>0</v>
      </c>
      <c r="D74" s="116">
        <f t="shared" si="140"/>
        <v>0</v>
      </c>
      <c r="E74" s="116">
        <f t="shared" si="140"/>
        <v>0</v>
      </c>
      <c r="F74" s="116">
        <f t="shared" si="140"/>
        <v>2826.0819539420327</v>
      </c>
      <c r="G74" s="116">
        <f t="shared" si="140"/>
        <v>5454.3381711081211</v>
      </c>
      <c r="H74" s="116">
        <f t="shared" si="140"/>
        <v>8280.4201250501537</v>
      </c>
      <c r="I74" s="122">
        <f t="shared" ref="I74:J74" si="141">ROUND(I35,-3)</f>
        <v>18936000</v>
      </c>
      <c r="J74" s="137">
        <f t="shared" si="141"/>
        <v>5663000</v>
      </c>
      <c r="K74" s="148">
        <f t="shared" ref="K74:Q74" si="142">K35</f>
        <v>0</v>
      </c>
      <c r="L74" s="116">
        <f t="shared" si="142"/>
        <v>0</v>
      </c>
      <c r="M74" s="116">
        <f t="shared" si="142"/>
        <v>0</v>
      </c>
      <c r="N74" s="116">
        <f t="shared" si="142"/>
        <v>0</v>
      </c>
      <c r="O74" s="116">
        <f t="shared" si="142"/>
        <v>14651.003813857375</v>
      </c>
      <c r="P74" s="116">
        <f t="shared" si="142"/>
        <v>5454.3381711081211</v>
      </c>
      <c r="Q74" s="116">
        <f t="shared" si="142"/>
        <v>20105.341984965497</v>
      </c>
      <c r="R74" s="122">
        <f t="shared" ref="R74:U74" si="143">ROUND(R35,-3)</f>
        <v>717000</v>
      </c>
      <c r="S74" s="137">
        <f t="shared" si="143"/>
        <v>215000</v>
      </c>
      <c r="T74" s="37">
        <f t="shared" si="143"/>
        <v>19653000</v>
      </c>
      <c r="U74" s="121">
        <f t="shared" si="143"/>
        <v>6289000</v>
      </c>
    </row>
  </sheetData>
  <sheetProtection password="891C" sheet="1" objects="1" scenarios="1"/>
  <mergeCells count="8">
    <mergeCell ref="K1:S1"/>
    <mergeCell ref="T1:U1"/>
    <mergeCell ref="B1:J1"/>
    <mergeCell ref="A1:A2"/>
    <mergeCell ref="A40:A41"/>
    <mergeCell ref="B40:J40"/>
    <mergeCell ref="K40:S40"/>
    <mergeCell ref="T40:U4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opLeftCell="A34" zoomScale="80" zoomScaleNormal="80" workbookViewId="0">
      <selection activeCell="I55" sqref="I55"/>
    </sheetView>
  </sheetViews>
  <sheetFormatPr defaultRowHeight="15" x14ac:dyDescent="0.25"/>
  <cols>
    <col min="2" max="5" width="14.7109375" customWidth="1"/>
  </cols>
  <sheetData>
    <row r="1" spans="1:5" ht="15.75" thickBot="1" x14ac:dyDescent="0.3"/>
    <row r="2" spans="1:5" s="7" customFormat="1" ht="85.5" customHeight="1" x14ac:dyDescent="0.25">
      <c r="A2" s="185" t="s">
        <v>132</v>
      </c>
      <c r="B2" s="184" t="s">
        <v>408</v>
      </c>
      <c r="C2" s="184" t="s">
        <v>409</v>
      </c>
      <c r="D2" s="189" t="s">
        <v>201</v>
      </c>
      <c r="E2" s="141" t="s">
        <v>202</v>
      </c>
    </row>
    <row r="3" spans="1:5" x14ac:dyDescent="0.25">
      <c r="A3" s="41">
        <v>2018</v>
      </c>
      <c r="B3" s="50">
        <f>'Bicycle Users'!G7+'Pedestrian Users'!H7</f>
        <v>0</v>
      </c>
      <c r="C3" s="87">
        <f>Inputs!$B$101</f>
        <v>155.51666837344254</v>
      </c>
      <c r="D3" s="113">
        <f>B3*C3</f>
        <v>0</v>
      </c>
      <c r="E3" s="124">
        <f>ROUND(D3/((1+Inputs!$B$3)^(A3-2016)),0)</f>
        <v>0</v>
      </c>
    </row>
    <row r="4" spans="1:5" x14ac:dyDescent="0.25">
      <c r="A4" s="41">
        <v>2019</v>
      </c>
      <c r="B4" s="50">
        <f>'Bicycle Users'!G8+'Pedestrian Users'!H8</f>
        <v>0</v>
      </c>
      <c r="C4" s="87">
        <f>Inputs!$B$101</f>
        <v>155.51666837344254</v>
      </c>
      <c r="D4" s="113">
        <f t="shared" ref="D4:D32" si="0">B4*C4</f>
        <v>0</v>
      </c>
      <c r="E4" s="124">
        <f>ROUND(D4/((1+Inputs!$B$3)^(A4-2016)),0)</f>
        <v>0</v>
      </c>
    </row>
    <row r="5" spans="1:5" x14ac:dyDescent="0.25">
      <c r="A5" s="41">
        <v>2020</v>
      </c>
      <c r="B5" s="50">
        <f>'Bicycle Users'!G9+'Pedestrian Users'!H9</f>
        <v>307.96038684986326</v>
      </c>
      <c r="C5" s="87">
        <f>Inputs!$B$101</f>
        <v>155.51666837344254</v>
      </c>
      <c r="D5" s="113">
        <f t="shared" si="0"/>
        <v>47892.973353887261</v>
      </c>
      <c r="E5" s="124">
        <f>ROUND(D5/((1+Inputs!$B$3)^(A5-2016)),0)</f>
        <v>36537</v>
      </c>
    </row>
    <row r="6" spans="1:5" x14ac:dyDescent="0.25">
      <c r="A6" s="41">
        <v>2021</v>
      </c>
      <c r="B6" s="50">
        <f>'Bicycle Users'!G10+'Pedestrian Users'!H10</f>
        <v>311.40965587125805</v>
      </c>
      <c r="C6" s="87">
        <f>Inputs!$B$101</f>
        <v>155.51666837344254</v>
      </c>
      <c r="D6" s="113">
        <f t="shared" si="0"/>
        <v>48429.392180418305</v>
      </c>
      <c r="E6" s="124">
        <f>ROUND(D6/((1+Inputs!$B$3)^(A6-2016)),0)</f>
        <v>34529</v>
      </c>
    </row>
    <row r="7" spans="1:5" x14ac:dyDescent="0.25">
      <c r="A7" s="41">
        <v>2022</v>
      </c>
      <c r="B7" s="50">
        <f>'Bicycle Users'!G11+'Pedestrian Users'!H11</f>
        <v>314.89755796784681</v>
      </c>
      <c r="C7" s="87">
        <f>Inputs!$B$101</f>
        <v>155.51666837344254</v>
      </c>
      <c r="D7" s="113">
        <f t="shared" si="0"/>
        <v>48971.819094092534</v>
      </c>
      <c r="E7" s="124">
        <f>ROUND(D7/((1+Inputs!$B$3)^(A7-2016)),0)</f>
        <v>32632</v>
      </c>
    </row>
    <row r="8" spans="1:5" x14ac:dyDescent="0.25">
      <c r="A8" s="41">
        <v>2023</v>
      </c>
      <c r="B8" s="50">
        <f>'Bicycle Users'!G12+'Pedestrian Users'!H12</f>
        <v>318.4245258442084</v>
      </c>
      <c r="C8" s="87">
        <f>Inputs!$B$101</f>
        <v>155.51666837344254</v>
      </c>
      <c r="D8" s="113">
        <f t="shared" si="0"/>
        <v>49520.321387684446</v>
      </c>
      <c r="E8" s="124">
        <f>ROUND(D8/((1+Inputs!$B$3)^(A8-2016)),0)</f>
        <v>30839</v>
      </c>
    </row>
    <row r="9" spans="1:5" x14ac:dyDescent="0.25">
      <c r="A9" s="41">
        <v>2024</v>
      </c>
      <c r="B9" s="50">
        <f>'Bicycle Users'!G13+'Pedestrian Users'!H13</f>
        <v>321.99099705137115</v>
      </c>
      <c r="C9" s="87">
        <f>Inputs!$B$101</f>
        <v>155.51666837344254</v>
      </c>
      <c r="D9" s="113">
        <f t="shared" si="0"/>
        <v>50074.967107672201</v>
      </c>
      <c r="E9" s="124">
        <f>ROUND(D9/((1+Inputs!$B$3)^(A9-2016)),0)</f>
        <v>29144</v>
      </c>
    </row>
    <row r="10" spans="1:5" x14ac:dyDescent="0.25">
      <c r="A10" s="41">
        <v>2025</v>
      </c>
      <c r="B10" s="50">
        <f>'Bicycle Users'!G14+'Pedestrian Users'!H14</f>
        <v>325.59741404109508</v>
      </c>
      <c r="C10" s="87">
        <f>Inputs!$B$101</f>
        <v>155.51666837344254</v>
      </c>
      <c r="D10" s="113">
        <f t="shared" si="0"/>
        <v>50635.825062679447</v>
      </c>
      <c r="E10" s="124">
        <f>ROUND(D10/((1+Inputs!$B$3)^(A10-2016)),0)</f>
        <v>27543</v>
      </c>
    </row>
    <row r="11" spans="1:5" x14ac:dyDescent="0.25">
      <c r="A11" s="41">
        <v>2026</v>
      </c>
      <c r="B11" s="50">
        <f>'Bicycle Users'!G15+'Pedestrian Users'!H15</f>
        <v>329.24422422076185</v>
      </c>
      <c r="C11" s="87">
        <f>Inputs!$B$101</f>
        <v>155.51666837344254</v>
      </c>
      <c r="D11" s="113">
        <f t="shared" si="0"/>
        <v>51202.964832011581</v>
      </c>
      <c r="E11" s="124">
        <f>ROUND(D11/((1+Inputs!$B$3)^(A11-2016)),0)</f>
        <v>26029</v>
      </c>
    </row>
    <row r="12" spans="1:5" x14ac:dyDescent="0.25">
      <c r="A12" s="41">
        <v>2027</v>
      </c>
      <c r="B12" s="50">
        <f>'Bicycle Users'!G16+'Pedestrian Users'!H16</f>
        <v>332.93188000887943</v>
      </c>
      <c r="C12" s="87">
        <f>Inputs!$B$101</f>
        <v>155.51666837344254</v>
      </c>
      <c r="D12" s="113">
        <f t="shared" si="0"/>
        <v>51776.456774287668</v>
      </c>
      <c r="E12" s="124">
        <f>ROUND(D12/((1+Inputs!$B$3)^(A12-2016)),0)</f>
        <v>24599</v>
      </c>
    </row>
    <row r="13" spans="1:5" x14ac:dyDescent="0.25">
      <c r="A13" s="41">
        <v>2028</v>
      </c>
      <c r="B13" s="50">
        <f>'Bicycle Users'!G17+'Pedestrian Users'!H17</f>
        <v>336.66083889120864</v>
      </c>
      <c r="C13" s="87">
        <f>Inputs!$B$101</f>
        <v>155.51666837344254</v>
      </c>
      <c r="D13" s="113">
        <f t="shared" si="0"/>
        <v>52356.372036169065</v>
      </c>
      <c r="E13" s="124">
        <f>ROUND(D13/((1+Inputs!$B$3)^(A13-2016)),0)</f>
        <v>23247</v>
      </c>
    </row>
    <row r="14" spans="1:5" x14ac:dyDescent="0.25">
      <c r="A14" s="41">
        <v>2029</v>
      </c>
      <c r="B14" s="50">
        <f>'Bicycle Users'!G18+'Pedestrian Users'!H18</f>
        <v>340.4315634775183</v>
      </c>
      <c r="C14" s="87">
        <f>Inputs!$B$101</f>
        <v>155.51666837344254</v>
      </c>
      <c r="D14" s="113">
        <f t="shared" si="0"/>
        <v>52942.78256118577</v>
      </c>
      <c r="E14" s="124">
        <f>ROUND(D14/((1+Inputs!$B$3)^(A14-2016)),0)</f>
        <v>21969</v>
      </c>
    </row>
    <row r="15" spans="1:5" x14ac:dyDescent="0.25">
      <c r="A15" s="41">
        <v>2030</v>
      </c>
      <c r="B15" s="50">
        <f>'Bicycle Users'!G19+'Pedestrian Users'!H19</f>
        <v>344.24452155897586</v>
      </c>
      <c r="C15" s="87">
        <f>Inputs!$B$101</f>
        <v>155.51666837344254</v>
      </c>
      <c r="D15" s="113">
        <f t="shared" si="0"/>
        <v>53535.761098661642</v>
      </c>
      <c r="E15" s="124">
        <f>ROUND(D15/((1+Inputs!$B$3)^(A15-2016)),0)</f>
        <v>20762</v>
      </c>
    </row>
    <row r="16" spans="1:5" x14ac:dyDescent="0.25">
      <c r="A16" s="41">
        <v>2031</v>
      </c>
      <c r="B16" s="50">
        <f>'Bicycle Users'!G20+'Pedestrian Users'!H20</f>
        <v>348.10018616618106</v>
      </c>
      <c r="C16" s="87">
        <f>Inputs!$B$101</f>
        <v>155.51666837344254</v>
      </c>
      <c r="D16" s="113">
        <f t="shared" si="0"/>
        <v>54135.381212739594</v>
      </c>
      <c r="E16" s="124">
        <f>ROUND(D16/((1+Inputs!$B$3)^(A16-2016)),0)</f>
        <v>19621</v>
      </c>
    </row>
    <row r="17" spans="1:5" x14ac:dyDescent="0.25">
      <c r="A17" s="41">
        <v>2032</v>
      </c>
      <c r="B17" s="50">
        <f>'Bicycle Users'!G21+'Pedestrian Users'!H21</f>
        <v>351.99903562784937</v>
      </c>
      <c r="C17" s="87">
        <f>Inputs!$B$101</f>
        <v>155.51666837344254</v>
      </c>
      <c r="D17" s="113">
        <f t="shared" si="0"/>
        <v>54741.717291507834</v>
      </c>
      <c r="E17" s="124">
        <f>ROUND(D17/((1+Inputs!$B$3)^(A17-2016)),0)</f>
        <v>18543</v>
      </c>
    </row>
    <row r="18" spans="1:5" x14ac:dyDescent="0.25">
      <c r="A18" s="41">
        <v>2033</v>
      </c>
      <c r="B18" s="50">
        <f>'Bicycle Users'!G22+'Pedestrian Users'!H22</f>
        <v>355.94155363015295</v>
      </c>
      <c r="C18" s="87">
        <f>Inputs!$B$101</f>
        <v>155.51666837344254</v>
      </c>
      <c r="D18" s="113">
        <f t="shared" si="0"/>
        <v>55354.844556228411</v>
      </c>
      <c r="E18" s="124">
        <f>ROUND(D18/((1+Inputs!$B$3)^(A18-2016)),0)</f>
        <v>17524</v>
      </c>
    </row>
    <row r="19" spans="1:5" x14ac:dyDescent="0.25">
      <c r="A19" s="41">
        <v>2034</v>
      </c>
      <c r="B19" s="50">
        <f>'Bicycle Users'!G23+'Pedestrian Users'!H23</f>
        <v>359.92822927672614</v>
      </c>
      <c r="C19" s="87">
        <f>Inputs!$B$101</f>
        <v>155.51666837344254</v>
      </c>
      <c r="D19" s="113">
        <f t="shared" si="0"/>
        <v>55974.839070669012</v>
      </c>
      <c r="E19" s="124">
        <f>ROUND(D19/((1+Inputs!$B$3)^(A19-2016)),0)</f>
        <v>16561</v>
      </c>
    </row>
    <row r="20" spans="1:5" x14ac:dyDescent="0.25">
      <c r="A20" s="41">
        <v>2035</v>
      </c>
      <c r="B20" s="50">
        <f>'Bicycle Users'!G24+'Pedestrian Users'!H24</f>
        <v>363.95955714934286</v>
      </c>
      <c r="C20" s="87">
        <f>Inputs!$B$101</f>
        <v>155.51666837344254</v>
      </c>
      <c r="D20" s="113">
        <f t="shared" si="0"/>
        <v>56601.777750539361</v>
      </c>
      <c r="E20" s="124">
        <f>ROUND(D20/((1+Inputs!$B$3)^(A20-2016)),0)</f>
        <v>15651</v>
      </c>
    </row>
    <row r="21" spans="1:5" x14ac:dyDescent="0.25">
      <c r="A21" s="41">
        <v>2036</v>
      </c>
      <c r="B21" s="50">
        <f>'Bicycle Users'!G25+'Pedestrian Users'!H25</f>
        <v>368.03603736927391</v>
      </c>
      <c r="C21" s="87">
        <f>Inputs!$B$101</f>
        <v>155.51666837344254</v>
      </c>
      <c r="D21" s="113">
        <f t="shared" si="0"/>
        <v>57235.73837303328</v>
      </c>
      <c r="E21" s="124">
        <f>ROUND(D21/((1+Inputs!$B$3)^(A21-2016)),0)</f>
        <v>14791</v>
      </c>
    </row>
    <row r="22" spans="1:5" x14ac:dyDescent="0.25">
      <c r="A22" s="41">
        <v>2037</v>
      </c>
      <c r="B22" s="50">
        <f>'Bicycle Users'!G26+'Pedestrian Users'!H26</f>
        <v>372.15817565933133</v>
      </c>
      <c r="C22" s="87">
        <f>Inputs!$B$101</f>
        <v>155.51666837344254</v>
      </c>
      <c r="D22" s="113">
        <f t="shared" si="0"/>
        <v>57876.799586477609</v>
      </c>
      <c r="E22" s="124">
        <f>ROUND(D22/((1+Inputs!$B$3)^(A22-2016)),0)</f>
        <v>13978</v>
      </c>
    </row>
    <row r="23" spans="1:5" x14ac:dyDescent="0.25">
      <c r="A23" s="41">
        <v>2038</v>
      </c>
      <c r="B23" s="50">
        <f>'Bicycle Users'!G27+'Pedestrian Users'!H27</f>
        <v>376.32648340660774</v>
      </c>
      <c r="C23" s="87">
        <f>Inputs!$B$101</f>
        <v>155.51666837344254</v>
      </c>
      <c r="D23" s="113">
        <f t="shared" si="0"/>
        <v>58525.040920089246</v>
      </c>
      <c r="E23" s="124">
        <f>ROUND(D23/((1+Inputs!$B$3)^(A23-2016)),0)</f>
        <v>13210</v>
      </c>
    </row>
    <row r="24" spans="1:5" x14ac:dyDescent="0.25">
      <c r="A24" s="41">
        <v>2039</v>
      </c>
      <c r="B24" s="50">
        <f>'Bicycle Users'!G28+'Pedestrian Users'!H28</f>
        <v>380.54147772591824</v>
      </c>
      <c r="C24" s="87">
        <f>Inputs!$B$101</f>
        <v>155.51666837344254</v>
      </c>
      <c r="D24" s="113">
        <f t="shared" si="0"/>
        <v>59180.5427938414</v>
      </c>
      <c r="E24" s="124">
        <f>ROUND(D24/((1+Inputs!$B$3)^(A24-2016)),0)</f>
        <v>12484</v>
      </c>
    </row>
    <row r="25" spans="1:5" x14ac:dyDescent="0.25">
      <c r="A25" s="41">
        <v>2040</v>
      </c>
      <c r="B25" s="50">
        <f>'Bicycle Users'!G29+'Pedestrian Users'!H29</f>
        <v>384.80368152395317</v>
      </c>
      <c r="C25" s="87">
        <f>Inputs!$B$101</f>
        <v>155.51666837344254</v>
      </c>
      <c r="D25" s="113">
        <f t="shared" si="0"/>
        <v>59843.386528440424</v>
      </c>
      <c r="E25" s="124">
        <f>ROUND(D25/((1+Inputs!$B$3)^(A25-2016)),0)</f>
        <v>11798</v>
      </c>
    </row>
    <row r="26" spans="1:5" x14ac:dyDescent="0.25">
      <c r="A26" s="41">
        <v>2041</v>
      </c>
      <c r="B26" s="50">
        <f>'Bicycle Users'!G30+'Pedestrian Users'!H30</f>
        <v>389.11362356414907</v>
      </c>
      <c r="C26" s="87">
        <f>Inputs!$B$101</f>
        <v>155.51666837344254</v>
      </c>
      <c r="D26" s="113">
        <f t="shared" si="0"/>
        <v>60513.654355414328</v>
      </c>
      <c r="E26" s="124">
        <f>ROUND(D26/((1+Inputs!$B$3)^(A26-2016)),0)</f>
        <v>11150</v>
      </c>
    </row>
    <row r="27" spans="1:5" x14ac:dyDescent="0.25">
      <c r="A27" s="41">
        <v>2042</v>
      </c>
      <c r="B27" s="50">
        <f>'Bicycle Users'!G31+'Pedestrian Users'!H31</f>
        <v>393.47183853228654</v>
      </c>
      <c r="C27" s="87">
        <f>Inputs!$B$101</f>
        <v>155.51666837344254</v>
      </c>
      <c r="D27" s="113">
        <f t="shared" si="0"/>
        <v>61191.429427314339</v>
      </c>
      <c r="E27" s="124">
        <f>ROUND(D27/((1+Inputs!$B$3)^(A27-2016)),0)</f>
        <v>10537</v>
      </c>
    </row>
    <row r="28" spans="1:5" x14ac:dyDescent="0.25">
      <c r="A28" s="41">
        <v>2043</v>
      </c>
      <c r="B28" s="50">
        <f>'Bicycle Users'!G32+'Pedestrian Users'!H32</f>
        <v>397.87886710282248</v>
      </c>
      <c r="C28" s="87">
        <f>Inputs!$B$101</f>
        <v>155.51666837344254</v>
      </c>
      <c r="D28" s="113">
        <f t="shared" si="0"/>
        <v>61876.795828030663</v>
      </c>
      <c r="E28" s="124">
        <f>ROUND(D28/((1+Inputs!$B$3)^(A28-2016)),0)</f>
        <v>9958</v>
      </c>
    </row>
    <row r="29" spans="1:5" x14ac:dyDescent="0.25">
      <c r="A29" s="41">
        <v>2044</v>
      </c>
      <c r="B29" s="50">
        <f>'Bicycle Users'!G33+'Pedestrian Users'!H33</f>
        <v>402.33525600596568</v>
      </c>
      <c r="C29" s="87">
        <f>Inputs!$B$101</f>
        <v>155.51666837344254</v>
      </c>
      <c r="D29" s="113">
        <f t="shared" si="0"/>
        <v>62569.838583223871</v>
      </c>
      <c r="E29" s="124">
        <f>ROUND(D29/((1+Inputs!$B$3)^(A29-2016)),0)</f>
        <v>9411</v>
      </c>
    </row>
    <row r="30" spans="1:5" x14ac:dyDescent="0.25">
      <c r="A30" s="41">
        <v>2045</v>
      </c>
      <c r="B30" s="50">
        <f>'Bicycle Users'!G34+'Pedestrian Users'!H34</f>
        <v>406.8415580955031</v>
      </c>
      <c r="C30" s="87">
        <f>Inputs!$B$101</f>
        <v>155.51666837344254</v>
      </c>
      <c r="D30" s="113">
        <f t="shared" si="0"/>
        <v>63270.643670873011</v>
      </c>
      <c r="E30" s="124">
        <f>ROUND(D30/((1+Inputs!$B$3)^(A30-2016)),0)</f>
        <v>8893</v>
      </c>
    </row>
    <row r="31" spans="1:5" x14ac:dyDescent="0.25">
      <c r="A31" s="41">
        <v>2046</v>
      </c>
      <c r="B31" s="50">
        <f>'Bicycle Users'!G35+'Pedestrian Users'!H35</f>
        <v>411.39833241738671</v>
      </c>
      <c r="C31" s="87">
        <f>Inputs!$B$101</f>
        <v>155.51666837344254</v>
      </c>
      <c r="D31" s="113">
        <f t="shared" si="0"/>
        <v>63979.298031942002</v>
      </c>
      <c r="E31" s="124">
        <f>ROUND(D31/((1+Inputs!$B$3)^(A31-2016)),0)</f>
        <v>8405</v>
      </c>
    </row>
    <row r="32" spans="1:5" x14ac:dyDescent="0.25">
      <c r="A32" s="41">
        <v>2047</v>
      </c>
      <c r="B32" s="50">
        <f>'Bicycle Users'!G36+'Pedestrian Users'!H36</f>
        <v>416.00614427908744</v>
      </c>
      <c r="C32" s="87">
        <f>Inputs!$B$101</f>
        <v>155.51666837344254</v>
      </c>
      <c r="D32" s="113">
        <f t="shared" si="0"/>
        <v>64695.889581165335</v>
      </c>
      <c r="E32" s="124">
        <f>ROUND(D32/((1+Inputs!$B$3)^(A32-2016)),0)</f>
        <v>7943</v>
      </c>
    </row>
    <row r="33" spans="1:5" s="4" customFormat="1" x14ac:dyDescent="0.25">
      <c r="A33" s="41">
        <v>2048</v>
      </c>
      <c r="B33" s="50">
        <f>'Bicycle Users'!G37+'Pedestrian Users'!H37</f>
        <v>420.66556531972697</v>
      </c>
      <c r="C33" s="87">
        <f>Inputs!$B$101</f>
        <v>155.51666837344254</v>
      </c>
      <c r="D33" s="113">
        <f t="shared" ref="D33:D34" si="1">B33*C33</f>
        <v>65420.507217954713</v>
      </c>
      <c r="E33" s="124">
        <f>ROUND(D33/((1+Inputs!$B$3)^(A33-2016)),0)</f>
        <v>7506</v>
      </c>
    </row>
    <row r="34" spans="1:5" s="4" customFormat="1" ht="15.75" thickBot="1" x14ac:dyDescent="0.3">
      <c r="A34" s="41">
        <v>2049</v>
      </c>
      <c r="B34" s="50">
        <f>'Bicycle Users'!G38+'Pedestrian Users'!H38</f>
        <v>425.37717358099411</v>
      </c>
      <c r="C34" s="87">
        <f>Inputs!$B$101</f>
        <v>155.51666837344254</v>
      </c>
      <c r="D34" s="113">
        <f t="shared" si="1"/>
        <v>66153.240837427758</v>
      </c>
      <c r="E34" s="124">
        <f>ROUND(D34/((1+Inputs!$B$3)^(A34-2016)),0)</f>
        <v>7094</v>
      </c>
    </row>
    <row r="35" spans="1:5" ht="15.75" thickBot="1" x14ac:dyDescent="0.3">
      <c r="A35" s="52" t="s">
        <v>165</v>
      </c>
      <c r="B35" s="136">
        <f>SUM(B3:B34)</f>
        <v>10908.676342216242</v>
      </c>
      <c r="C35" s="77"/>
      <c r="D35" s="78">
        <f>SUM(D3:D34)</f>
        <v>1696481.001105662</v>
      </c>
      <c r="E35" s="80">
        <f>SUM(E3:E34)</f>
        <v>542888</v>
      </c>
    </row>
    <row r="36" spans="1:5" x14ac:dyDescent="0.25">
      <c r="B36" s="10"/>
      <c r="C36" s="10"/>
      <c r="D36" s="10"/>
      <c r="E36" s="10"/>
    </row>
    <row r="37" spans="1:5" ht="15.75" thickBot="1" x14ac:dyDescent="0.3"/>
    <row r="38" spans="1:5" ht="60" x14ac:dyDescent="0.25">
      <c r="A38" s="603" t="s">
        <v>132</v>
      </c>
      <c r="B38" s="601" t="s">
        <v>408</v>
      </c>
      <c r="C38" s="601" t="s">
        <v>409</v>
      </c>
      <c r="D38" s="189" t="s">
        <v>201</v>
      </c>
      <c r="E38" s="141" t="s">
        <v>202</v>
      </c>
    </row>
    <row r="39" spans="1:5" x14ac:dyDescent="0.25">
      <c r="A39" s="41">
        <v>2018</v>
      </c>
      <c r="B39" s="50">
        <f>ROUND(B3,-1)</f>
        <v>0</v>
      </c>
      <c r="C39" s="87">
        <f>C3</f>
        <v>155.51666837344254</v>
      </c>
      <c r="D39" s="113">
        <f>ROUND(D3,-3)</f>
        <v>0</v>
      </c>
      <c r="E39" s="124">
        <f>ROUND(E3,-3)</f>
        <v>0</v>
      </c>
    </row>
    <row r="40" spans="1:5" x14ac:dyDescent="0.25">
      <c r="A40" s="41">
        <v>2019</v>
      </c>
      <c r="B40" s="50">
        <f t="shared" ref="B40:B71" si="2">ROUND(B4,-1)</f>
        <v>0</v>
      </c>
      <c r="C40" s="87">
        <f t="shared" ref="C40:C71" si="3">C4</f>
        <v>155.51666837344254</v>
      </c>
      <c r="D40" s="113">
        <f t="shared" ref="D40:E40" si="4">ROUND(D4,-3)</f>
        <v>0</v>
      </c>
      <c r="E40" s="124">
        <f t="shared" si="4"/>
        <v>0</v>
      </c>
    </row>
    <row r="41" spans="1:5" x14ac:dyDescent="0.25">
      <c r="A41" s="41">
        <v>2020</v>
      </c>
      <c r="B41" s="50">
        <f t="shared" si="2"/>
        <v>310</v>
      </c>
      <c r="C41" s="87">
        <f t="shared" si="3"/>
        <v>155.51666837344254</v>
      </c>
      <c r="D41" s="113">
        <f t="shared" ref="D41:E41" si="5">ROUND(D5,-3)</f>
        <v>48000</v>
      </c>
      <c r="E41" s="124">
        <f t="shared" si="5"/>
        <v>37000</v>
      </c>
    </row>
    <row r="42" spans="1:5" x14ac:dyDescent="0.25">
      <c r="A42" s="41">
        <v>2021</v>
      </c>
      <c r="B42" s="50">
        <f t="shared" si="2"/>
        <v>310</v>
      </c>
      <c r="C42" s="87">
        <f t="shared" si="3"/>
        <v>155.51666837344254</v>
      </c>
      <c r="D42" s="113">
        <f t="shared" ref="D42:E42" si="6">ROUND(D6,-3)</f>
        <v>48000</v>
      </c>
      <c r="E42" s="124">
        <f t="shared" si="6"/>
        <v>35000</v>
      </c>
    </row>
    <row r="43" spans="1:5" x14ac:dyDescent="0.25">
      <c r="A43" s="41">
        <v>2022</v>
      </c>
      <c r="B43" s="50">
        <f t="shared" si="2"/>
        <v>310</v>
      </c>
      <c r="C43" s="87">
        <f t="shared" si="3"/>
        <v>155.51666837344254</v>
      </c>
      <c r="D43" s="113">
        <f t="shared" ref="D43:E43" si="7">ROUND(D7,-3)</f>
        <v>49000</v>
      </c>
      <c r="E43" s="124">
        <f t="shared" si="7"/>
        <v>33000</v>
      </c>
    </row>
    <row r="44" spans="1:5" x14ac:dyDescent="0.25">
      <c r="A44" s="41">
        <v>2023</v>
      </c>
      <c r="B44" s="50">
        <f t="shared" si="2"/>
        <v>320</v>
      </c>
      <c r="C44" s="87">
        <f t="shared" si="3"/>
        <v>155.51666837344254</v>
      </c>
      <c r="D44" s="113">
        <f t="shared" ref="D44:E44" si="8">ROUND(D8,-3)</f>
        <v>50000</v>
      </c>
      <c r="E44" s="124">
        <f t="shared" si="8"/>
        <v>31000</v>
      </c>
    </row>
    <row r="45" spans="1:5" x14ac:dyDescent="0.25">
      <c r="A45" s="41">
        <v>2024</v>
      </c>
      <c r="B45" s="50">
        <f t="shared" si="2"/>
        <v>320</v>
      </c>
      <c r="C45" s="87">
        <f t="shared" si="3"/>
        <v>155.51666837344254</v>
      </c>
      <c r="D45" s="113">
        <f t="shared" ref="D45:E45" si="9">ROUND(D9,-3)</f>
        <v>50000</v>
      </c>
      <c r="E45" s="124">
        <f t="shared" si="9"/>
        <v>29000</v>
      </c>
    </row>
    <row r="46" spans="1:5" x14ac:dyDescent="0.25">
      <c r="A46" s="41">
        <v>2025</v>
      </c>
      <c r="B46" s="50">
        <f t="shared" si="2"/>
        <v>330</v>
      </c>
      <c r="C46" s="87">
        <f t="shared" si="3"/>
        <v>155.51666837344254</v>
      </c>
      <c r="D46" s="113">
        <f t="shared" ref="D46:E46" si="10">ROUND(D10,-3)</f>
        <v>51000</v>
      </c>
      <c r="E46" s="124">
        <f t="shared" si="10"/>
        <v>28000</v>
      </c>
    </row>
    <row r="47" spans="1:5" x14ac:dyDescent="0.25">
      <c r="A47" s="41">
        <v>2026</v>
      </c>
      <c r="B47" s="50">
        <f t="shared" si="2"/>
        <v>330</v>
      </c>
      <c r="C47" s="87">
        <f t="shared" si="3"/>
        <v>155.51666837344254</v>
      </c>
      <c r="D47" s="113">
        <f t="shared" ref="D47:E47" si="11">ROUND(D11,-3)</f>
        <v>51000</v>
      </c>
      <c r="E47" s="124">
        <f t="shared" si="11"/>
        <v>26000</v>
      </c>
    </row>
    <row r="48" spans="1:5" x14ac:dyDescent="0.25">
      <c r="A48" s="41">
        <v>2027</v>
      </c>
      <c r="B48" s="50">
        <f t="shared" si="2"/>
        <v>330</v>
      </c>
      <c r="C48" s="87">
        <f t="shared" si="3"/>
        <v>155.51666837344254</v>
      </c>
      <c r="D48" s="113">
        <f t="shared" ref="D48:E48" si="12">ROUND(D12,-3)</f>
        <v>52000</v>
      </c>
      <c r="E48" s="124">
        <f t="shared" si="12"/>
        <v>25000</v>
      </c>
    </row>
    <row r="49" spans="1:5" x14ac:dyDescent="0.25">
      <c r="A49" s="41">
        <v>2028</v>
      </c>
      <c r="B49" s="50">
        <f t="shared" si="2"/>
        <v>340</v>
      </c>
      <c r="C49" s="87">
        <f t="shared" si="3"/>
        <v>155.51666837344254</v>
      </c>
      <c r="D49" s="113">
        <f t="shared" ref="D49:E49" si="13">ROUND(D13,-3)</f>
        <v>52000</v>
      </c>
      <c r="E49" s="124">
        <f t="shared" si="13"/>
        <v>23000</v>
      </c>
    </row>
    <row r="50" spans="1:5" x14ac:dyDescent="0.25">
      <c r="A50" s="41">
        <v>2029</v>
      </c>
      <c r="B50" s="50">
        <f t="shared" si="2"/>
        <v>340</v>
      </c>
      <c r="C50" s="87">
        <f t="shared" si="3"/>
        <v>155.51666837344254</v>
      </c>
      <c r="D50" s="113">
        <f t="shared" ref="D50:E50" si="14">ROUND(D14,-3)</f>
        <v>53000</v>
      </c>
      <c r="E50" s="124">
        <f t="shared" si="14"/>
        <v>22000</v>
      </c>
    </row>
    <row r="51" spans="1:5" x14ac:dyDescent="0.25">
      <c r="A51" s="41">
        <v>2030</v>
      </c>
      <c r="B51" s="50">
        <f t="shared" si="2"/>
        <v>340</v>
      </c>
      <c r="C51" s="87">
        <f t="shared" si="3"/>
        <v>155.51666837344254</v>
      </c>
      <c r="D51" s="113">
        <f t="shared" ref="D51:E51" si="15">ROUND(D15,-3)</f>
        <v>54000</v>
      </c>
      <c r="E51" s="124">
        <f t="shared" si="15"/>
        <v>21000</v>
      </c>
    </row>
    <row r="52" spans="1:5" x14ac:dyDescent="0.25">
      <c r="A52" s="41">
        <v>2031</v>
      </c>
      <c r="B52" s="50">
        <f t="shared" si="2"/>
        <v>350</v>
      </c>
      <c r="C52" s="87">
        <f t="shared" si="3"/>
        <v>155.51666837344254</v>
      </c>
      <c r="D52" s="113">
        <f t="shared" ref="D52:E52" si="16">ROUND(D16,-3)</f>
        <v>54000</v>
      </c>
      <c r="E52" s="124">
        <f t="shared" si="16"/>
        <v>20000</v>
      </c>
    </row>
    <row r="53" spans="1:5" x14ac:dyDescent="0.25">
      <c r="A53" s="41">
        <v>2032</v>
      </c>
      <c r="B53" s="50">
        <f t="shared" si="2"/>
        <v>350</v>
      </c>
      <c r="C53" s="87">
        <f t="shared" si="3"/>
        <v>155.51666837344254</v>
      </c>
      <c r="D53" s="113">
        <f t="shared" ref="D53:E53" si="17">ROUND(D17,-3)</f>
        <v>55000</v>
      </c>
      <c r="E53" s="124">
        <f t="shared" si="17"/>
        <v>19000</v>
      </c>
    </row>
    <row r="54" spans="1:5" x14ac:dyDescent="0.25">
      <c r="A54" s="41">
        <v>2033</v>
      </c>
      <c r="B54" s="50">
        <f t="shared" si="2"/>
        <v>360</v>
      </c>
      <c r="C54" s="87">
        <f t="shared" si="3"/>
        <v>155.51666837344254</v>
      </c>
      <c r="D54" s="113">
        <f t="shared" ref="D54:E54" si="18">ROUND(D18,-3)</f>
        <v>55000</v>
      </c>
      <c r="E54" s="124">
        <f t="shared" si="18"/>
        <v>18000</v>
      </c>
    </row>
    <row r="55" spans="1:5" x14ac:dyDescent="0.25">
      <c r="A55" s="41">
        <v>2034</v>
      </c>
      <c r="B55" s="50">
        <f t="shared" si="2"/>
        <v>360</v>
      </c>
      <c r="C55" s="87">
        <f t="shared" si="3"/>
        <v>155.51666837344254</v>
      </c>
      <c r="D55" s="113">
        <f t="shared" ref="D55:E55" si="19">ROUND(D19,-3)</f>
        <v>56000</v>
      </c>
      <c r="E55" s="124">
        <f t="shared" si="19"/>
        <v>17000</v>
      </c>
    </row>
    <row r="56" spans="1:5" x14ac:dyDescent="0.25">
      <c r="A56" s="41">
        <v>2035</v>
      </c>
      <c r="B56" s="50">
        <f t="shared" si="2"/>
        <v>360</v>
      </c>
      <c r="C56" s="87">
        <f t="shared" si="3"/>
        <v>155.51666837344254</v>
      </c>
      <c r="D56" s="113">
        <f t="shared" ref="D56:E56" si="20">ROUND(D20,-3)</f>
        <v>57000</v>
      </c>
      <c r="E56" s="124">
        <f t="shared" si="20"/>
        <v>16000</v>
      </c>
    </row>
    <row r="57" spans="1:5" x14ac:dyDescent="0.25">
      <c r="A57" s="41">
        <v>2036</v>
      </c>
      <c r="B57" s="50">
        <f t="shared" si="2"/>
        <v>370</v>
      </c>
      <c r="C57" s="87">
        <f t="shared" si="3"/>
        <v>155.51666837344254</v>
      </c>
      <c r="D57" s="113">
        <f t="shared" ref="D57:E57" si="21">ROUND(D21,-3)</f>
        <v>57000</v>
      </c>
      <c r="E57" s="124">
        <f t="shared" si="21"/>
        <v>15000</v>
      </c>
    </row>
    <row r="58" spans="1:5" x14ac:dyDescent="0.25">
      <c r="A58" s="41">
        <v>2037</v>
      </c>
      <c r="B58" s="50">
        <f t="shared" si="2"/>
        <v>370</v>
      </c>
      <c r="C58" s="87">
        <f t="shared" si="3"/>
        <v>155.51666837344254</v>
      </c>
      <c r="D58" s="113">
        <f t="shared" ref="D58:E58" si="22">ROUND(D22,-3)</f>
        <v>58000</v>
      </c>
      <c r="E58" s="124">
        <f t="shared" si="22"/>
        <v>14000</v>
      </c>
    </row>
    <row r="59" spans="1:5" x14ac:dyDescent="0.25">
      <c r="A59" s="41">
        <v>2038</v>
      </c>
      <c r="B59" s="50">
        <f t="shared" si="2"/>
        <v>380</v>
      </c>
      <c r="C59" s="87">
        <f t="shared" si="3"/>
        <v>155.51666837344254</v>
      </c>
      <c r="D59" s="113">
        <f t="shared" ref="D59:E59" si="23">ROUND(D23,-3)</f>
        <v>59000</v>
      </c>
      <c r="E59" s="124">
        <f t="shared" si="23"/>
        <v>13000</v>
      </c>
    </row>
    <row r="60" spans="1:5" x14ac:dyDescent="0.25">
      <c r="A60" s="41">
        <v>2039</v>
      </c>
      <c r="B60" s="50">
        <f t="shared" si="2"/>
        <v>380</v>
      </c>
      <c r="C60" s="87">
        <f t="shared" si="3"/>
        <v>155.51666837344254</v>
      </c>
      <c r="D60" s="113">
        <f t="shared" ref="D60:E60" si="24">ROUND(D24,-3)</f>
        <v>59000</v>
      </c>
      <c r="E60" s="124">
        <f t="shared" si="24"/>
        <v>12000</v>
      </c>
    </row>
    <row r="61" spans="1:5" x14ac:dyDescent="0.25">
      <c r="A61" s="41">
        <v>2040</v>
      </c>
      <c r="B61" s="50">
        <f t="shared" si="2"/>
        <v>380</v>
      </c>
      <c r="C61" s="87">
        <f t="shared" si="3"/>
        <v>155.51666837344254</v>
      </c>
      <c r="D61" s="113">
        <f t="shared" ref="D61:E61" si="25">ROUND(D25,-3)</f>
        <v>60000</v>
      </c>
      <c r="E61" s="124">
        <f t="shared" si="25"/>
        <v>12000</v>
      </c>
    </row>
    <row r="62" spans="1:5" x14ac:dyDescent="0.25">
      <c r="A62" s="41">
        <v>2041</v>
      </c>
      <c r="B62" s="50">
        <f t="shared" si="2"/>
        <v>390</v>
      </c>
      <c r="C62" s="87">
        <f t="shared" si="3"/>
        <v>155.51666837344254</v>
      </c>
      <c r="D62" s="113">
        <f t="shared" ref="D62:E62" si="26">ROUND(D26,-3)</f>
        <v>61000</v>
      </c>
      <c r="E62" s="124">
        <f t="shared" si="26"/>
        <v>11000</v>
      </c>
    </row>
    <row r="63" spans="1:5" x14ac:dyDescent="0.25">
      <c r="A63" s="41">
        <v>2042</v>
      </c>
      <c r="B63" s="50">
        <f t="shared" si="2"/>
        <v>390</v>
      </c>
      <c r="C63" s="87">
        <f t="shared" si="3"/>
        <v>155.51666837344254</v>
      </c>
      <c r="D63" s="113">
        <f t="shared" ref="D63:E63" si="27">ROUND(D27,-3)</f>
        <v>61000</v>
      </c>
      <c r="E63" s="124">
        <f t="shared" si="27"/>
        <v>11000</v>
      </c>
    </row>
    <row r="64" spans="1:5" x14ac:dyDescent="0.25">
      <c r="A64" s="41">
        <v>2043</v>
      </c>
      <c r="B64" s="50">
        <f t="shared" si="2"/>
        <v>400</v>
      </c>
      <c r="C64" s="87">
        <f t="shared" si="3"/>
        <v>155.51666837344254</v>
      </c>
      <c r="D64" s="113">
        <f t="shared" ref="D64:E64" si="28">ROUND(D28,-3)</f>
        <v>62000</v>
      </c>
      <c r="E64" s="124">
        <f t="shared" si="28"/>
        <v>10000</v>
      </c>
    </row>
    <row r="65" spans="1:5" x14ac:dyDescent="0.25">
      <c r="A65" s="41">
        <v>2044</v>
      </c>
      <c r="B65" s="50">
        <f t="shared" si="2"/>
        <v>400</v>
      </c>
      <c r="C65" s="87">
        <f t="shared" si="3"/>
        <v>155.51666837344254</v>
      </c>
      <c r="D65" s="113">
        <f t="shared" ref="D65:E65" si="29">ROUND(D29,-3)</f>
        <v>63000</v>
      </c>
      <c r="E65" s="124">
        <f t="shared" si="29"/>
        <v>9000</v>
      </c>
    </row>
    <row r="66" spans="1:5" x14ac:dyDescent="0.25">
      <c r="A66" s="41">
        <v>2045</v>
      </c>
      <c r="B66" s="50">
        <f t="shared" si="2"/>
        <v>410</v>
      </c>
      <c r="C66" s="87">
        <f t="shared" si="3"/>
        <v>155.51666837344254</v>
      </c>
      <c r="D66" s="113">
        <f t="shared" ref="D66:E66" si="30">ROUND(D30,-3)</f>
        <v>63000</v>
      </c>
      <c r="E66" s="124">
        <f t="shared" si="30"/>
        <v>9000</v>
      </c>
    </row>
    <row r="67" spans="1:5" x14ac:dyDescent="0.25">
      <c r="A67" s="41">
        <v>2046</v>
      </c>
      <c r="B67" s="50">
        <f t="shared" si="2"/>
        <v>410</v>
      </c>
      <c r="C67" s="87">
        <f t="shared" si="3"/>
        <v>155.51666837344254</v>
      </c>
      <c r="D67" s="113">
        <f t="shared" ref="D67:E67" si="31">ROUND(D31,-3)</f>
        <v>64000</v>
      </c>
      <c r="E67" s="124">
        <f t="shared" si="31"/>
        <v>8000</v>
      </c>
    </row>
    <row r="68" spans="1:5" x14ac:dyDescent="0.25">
      <c r="A68" s="41">
        <v>2047</v>
      </c>
      <c r="B68" s="50">
        <f t="shared" si="2"/>
        <v>420</v>
      </c>
      <c r="C68" s="87">
        <f t="shared" si="3"/>
        <v>155.51666837344254</v>
      </c>
      <c r="D68" s="113">
        <f t="shared" ref="D68:E68" si="32">ROUND(D32,-3)</f>
        <v>65000</v>
      </c>
      <c r="E68" s="124">
        <f t="shared" si="32"/>
        <v>8000</v>
      </c>
    </row>
    <row r="69" spans="1:5" x14ac:dyDescent="0.25">
      <c r="A69" s="41">
        <v>2048</v>
      </c>
      <c r="B69" s="50">
        <f t="shared" si="2"/>
        <v>420</v>
      </c>
      <c r="C69" s="87">
        <f t="shared" si="3"/>
        <v>155.51666837344254</v>
      </c>
      <c r="D69" s="113">
        <f t="shared" ref="D69:E69" si="33">ROUND(D33,-3)</f>
        <v>65000</v>
      </c>
      <c r="E69" s="124">
        <f t="shared" si="33"/>
        <v>8000</v>
      </c>
    </row>
    <row r="70" spans="1:5" ht="15.75" thickBot="1" x14ac:dyDescent="0.3">
      <c r="A70" s="41">
        <v>2049</v>
      </c>
      <c r="B70" s="50">
        <f t="shared" si="2"/>
        <v>430</v>
      </c>
      <c r="C70" s="87">
        <f t="shared" si="3"/>
        <v>155.51666837344254</v>
      </c>
      <c r="D70" s="113">
        <f t="shared" ref="D70:E70" si="34">ROUND(D34,-3)</f>
        <v>66000</v>
      </c>
      <c r="E70" s="124">
        <f t="shared" si="34"/>
        <v>7000</v>
      </c>
    </row>
    <row r="71" spans="1:5" ht="15.75" thickBot="1" x14ac:dyDescent="0.3">
      <c r="A71" s="52" t="s">
        <v>165</v>
      </c>
      <c r="B71" s="136">
        <f t="shared" si="2"/>
        <v>10910</v>
      </c>
      <c r="C71" s="77">
        <f t="shared" si="3"/>
        <v>0</v>
      </c>
      <c r="D71" s="78">
        <f t="shared" ref="D71:E71" si="35">ROUND(D35,-3)</f>
        <v>1696000</v>
      </c>
      <c r="E71" s="80">
        <f t="shared" si="35"/>
        <v>543000</v>
      </c>
    </row>
  </sheetData>
  <sheetProtection password="891C"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opLeftCell="F37" zoomScale="80" zoomScaleNormal="80" workbookViewId="0">
      <selection activeCell="Q79" sqref="Q79"/>
    </sheetView>
  </sheetViews>
  <sheetFormatPr defaultRowHeight="15" x14ac:dyDescent="0.25"/>
  <cols>
    <col min="2" max="7" width="13.7109375" style="6" customWidth="1"/>
    <col min="8" max="12" width="13.7109375" style="6" hidden="1" customWidth="1"/>
    <col min="13" max="21" width="13.7109375" style="28" customWidth="1"/>
  </cols>
  <sheetData>
    <row r="1" spans="1:21" s="4" customFormat="1" ht="15.75" thickBot="1" x14ac:dyDescent="0.3">
      <c r="B1" s="6"/>
      <c r="C1" s="6"/>
      <c r="D1" s="6"/>
      <c r="E1" s="6"/>
      <c r="F1" s="6"/>
      <c r="G1" s="6"/>
      <c r="H1" s="6"/>
      <c r="I1" s="6"/>
      <c r="J1" s="6"/>
      <c r="K1" s="6"/>
      <c r="L1" s="6"/>
      <c r="M1" s="28"/>
      <c r="N1" s="28"/>
      <c r="O1" s="28"/>
      <c r="P1" s="28"/>
      <c r="Q1" s="28"/>
      <c r="R1" s="28"/>
      <c r="S1" s="28"/>
      <c r="T1" s="28"/>
      <c r="U1" s="28"/>
    </row>
    <row r="2" spans="1:21" ht="15.75" thickBot="1" x14ac:dyDescent="0.3">
      <c r="A2" s="702" t="s">
        <v>132</v>
      </c>
      <c r="B2" s="704" t="s">
        <v>200</v>
      </c>
      <c r="C2" s="706" t="s">
        <v>251</v>
      </c>
      <c r="D2" s="707"/>
      <c r="E2" s="707"/>
      <c r="F2" s="707"/>
      <c r="G2" s="708"/>
      <c r="H2" s="709" t="s">
        <v>250</v>
      </c>
      <c r="I2" s="707"/>
      <c r="J2" s="707"/>
      <c r="K2" s="707"/>
      <c r="L2" s="710"/>
      <c r="M2" s="711" t="s">
        <v>212</v>
      </c>
      <c r="N2" s="712"/>
      <c r="O2" s="712"/>
      <c r="P2" s="712"/>
      <c r="Q2" s="712"/>
      <c r="R2" s="712"/>
      <c r="S2" s="712"/>
      <c r="T2" s="712"/>
      <c r="U2" s="713"/>
    </row>
    <row r="3" spans="1:21" s="7" customFormat="1" ht="60" x14ac:dyDescent="0.25">
      <c r="A3" s="703"/>
      <c r="B3" s="705"/>
      <c r="C3" s="164" t="s">
        <v>203</v>
      </c>
      <c r="D3" s="96" t="s">
        <v>410</v>
      </c>
      <c r="E3" s="96" t="s">
        <v>411</v>
      </c>
      <c r="F3" s="96" t="s">
        <v>412</v>
      </c>
      <c r="G3" s="40" t="s">
        <v>413</v>
      </c>
      <c r="H3" s="163" t="s">
        <v>203</v>
      </c>
      <c r="I3" s="96" t="s">
        <v>204</v>
      </c>
      <c r="J3" s="96" t="s">
        <v>205</v>
      </c>
      <c r="K3" s="96" t="s">
        <v>206</v>
      </c>
      <c r="L3" s="165" t="s">
        <v>207</v>
      </c>
      <c r="M3" s="132" t="s">
        <v>239</v>
      </c>
      <c r="N3" s="94" t="s">
        <v>410</v>
      </c>
      <c r="O3" s="96" t="s">
        <v>411</v>
      </c>
      <c r="P3" s="96" t="s">
        <v>412</v>
      </c>
      <c r="Q3" s="40" t="s">
        <v>414</v>
      </c>
      <c r="R3" s="94" t="s">
        <v>415</v>
      </c>
      <c r="S3" s="94" t="s">
        <v>214</v>
      </c>
      <c r="T3" s="143" t="s">
        <v>416</v>
      </c>
      <c r="U3" s="140" t="s">
        <v>417</v>
      </c>
    </row>
    <row r="4" spans="1:21" x14ac:dyDescent="0.25">
      <c r="A4" s="41">
        <v>2018</v>
      </c>
      <c r="B4" s="166">
        <f>'Reduced VMT'!Q8</f>
        <v>0</v>
      </c>
      <c r="C4" s="168">
        <f>Inputs!$B$130</f>
        <v>1.034</v>
      </c>
      <c r="D4" s="106">
        <f>Inputs!$B$131</f>
        <v>0.69299999999999995</v>
      </c>
      <c r="E4" s="106">
        <f>Inputs!$B$132</f>
        <v>4.4000000000000003E-3</v>
      </c>
      <c r="F4" s="106">
        <f>Inputs!$B$133</f>
        <v>4.1000000000000002E-2</v>
      </c>
      <c r="G4" s="169">
        <f>Inputs!$B$134</f>
        <v>368.4</v>
      </c>
      <c r="H4" s="167">
        <f>((B4*C4)/1000000)</f>
        <v>0</v>
      </c>
      <c r="I4" s="38">
        <f>((B4*D4)/1000000)</f>
        <v>0</v>
      </c>
      <c r="J4" s="38">
        <f>((B4*E4)/1000000)</f>
        <v>0</v>
      </c>
      <c r="K4" s="38">
        <f>((B4*F4)/1000000)</f>
        <v>0</v>
      </c>
      <c r="L4" s="166">
        <f>((B4*G4)/1000000)</f>
        <v>0</v>
      </c>
      <c r="M4" s="133">
        <f>H4*Inputs!$B$126</f>
        <v>0</v>
      </c>
      <c r="N4" s="48">
        <f>I4*Inputs!$B$127</f>
        <v>0</v>
      </c>
      <c r="O4" s="48">
        <f>J4*Inputs!$B$128</f>
        <v>0</v>
      </c>
      <c r="P4" s="48">
        <f>K4*Inputs!$B$128</f>
        <v>0</v>
      </c>
      <c r="Q4" s="48">
        <f>SCC!C12*L4</f>
        <v>0</v>
      </c>
      <c r="R4" s="48">
        <f>SUM(M4:P4)</f>
        <v>0</v>
      </c>
      <c r="S4" s="48">
        <f>ROUND(R4/((1+Inputs!$B$3)^(A4-2016)),0)</f>
        <v>0</v>
      </c>
      <c r="T4" s="55">
        <f>Q4</f>
        <v>0</v>
      </c>
      <c r="U4" s="57">
        <f>SUM(S4:T4)</f>
        <v>0</v>
      </c>
    </row>
    <row r="5" spans="1:21" x14ac:dyDescent="0.25">
      <c r="A5" s="41">
        <v>2019</v>
      </c>
      <c r="B5" s="166">
        <f>'Reduced VMT'!Q9</f>
        <v>0</v>
      </c>
      <c r="C5" s="168">
        <f>Inputs!$B$130</f>
        <v>1.034</v>
      </c>
      <c r="D5" s="106">
        <f>Inputs!$B$131</f>
        <v>0.69299999999999995</v>
      </c>
      <c r="E5" s="106">
        <f>Inputs!$B$132</f>
        <v>4.4000000000000003E-3</v>
      </c>
      <c r="F5" s="106">
        <f>Inputs!$B$133</f>
        <v>4.1000000000000002E-2</v>
      </c>
      <c r="G5" s="169">
        <f>Inputs!$B$134</f>
        <v>368.4</v>
      </c>
      <c r="H5" s="167">
        <f t="shared" ref="H5:H33" si="0">((B5*C5)/1000000)</f>
        <v>0</v>
      </c>
      <c r="I5" s="38">
        <f t="shared" ref="I5:I33" si="1">((B5*D5)/1000000)</f>
        <v>0</v>
      </c>
      <c r="J5" s="38">
        <f t="shared" ref="J5:J33" si="2">((B5*E5)/1000000)</f>
        <v>0</v>
      </c>
      <c r="K5" s="38">
        <f t="shared" ref="K5:K33" si="3">((B5*F5)/1000000)</f>
        <v>0</v>
      </c>
      <c r="L5" s="166">
        <f t="shared" ref="L5:L33" si="4">((B5*G5)/1000000)</f>
        <v>0</v>
      </c>
      <c r="M5" s="133">
        <f>H5*Inputs!$B$126</f>
        <v>0</v>
      </c>
      <c r="N5" s="48">
        <f>I5*Inputs!$B$127</f>
        <v>0</v>
      </c>
      <c r="O5" s="48">
        <f>J5*Inputs!$B$128</f>
        <v>0</v>
      </c>
      <c r="P5" s="48">
        <f>K5*Inputs!$B$128</f>
        <v>0</v>
      </c>
      <c r="Q5" s="48">
        <f>SCC!C13*L5</f>
        <v>0</v>
      </c>
      <c r="R5" s="48">
        <f t="shared" ref="R5:R33" si="5">SUM(M5:P5)</f>
        <v>0</v>
      </c>
      <c r="S5" s="48">
        <f>ROUND(R5/((1+Inputs!$B$3)^(A5-2016)),0)</f>
        <v>0</v>
      </c>
      <c r="T5" s="55">
        <f t="shared" ref="T5:T33" si="6">Q5</f>
        <v>0</v>
      </c>
      <c r="U5" s="57">
        <f t="shared" ref="U5:U33" si="7">SUM(S5:T5)</f>
        <v>0</v>
      </c>
    </row>
    <row r="6" spans="1:21" x14ac:dyDescent="0.25">
      <c r="A6" s="41">
        <v>2020</v>
      </c>
      <c r="B6" s="166">
        <f>'Reduced VMT'!Q10</f>
        <v>1112902.0040896575</v>
      </c>
      <c r="C6" s="168">
        <f>Inputs!$B$130</f>
        <v>1.034</v>
      </c>
      <c r="D6" s="106">
        <f>Inputs!$B$131</f>
        <v>0.69299999999999995</v>
      </c>
      <c r="E6" s="106">
        <f>Inputs!$B$132</f>
        <v>4.4000000000000003E-3</v>
      </c>
      <c r="F6" s="106">
        <f>Inputs!$B$133</f>
        <v>4.1000000000000002E-2</v>
      </c>
      <c r="G6" s="169">
        <f>Inputs!$B$134</f>
        <v>368.4</v>
      </c>
      <c r="H6" s="167">
        <f t="shared" si="0"/>
        <v>1.1507406722287059</v>
      </c>
      <c r="I6" s="38">
        <f t="shared" si="1"/>
        <v>0.77124108883413256</v>
      </c>
      <c r="J6" s="38">
        <f t="shared" si="2"/>
        <v>4.8967688179944934E-3</v>
      </c>
      <c r="K6" s="38">
        <f t="shared" si="3"/>
        <v>4.5628982167675962E-2</v>
      </c>
      <c r="L6" s="166">
        <f t="shared" si="4"/>
        <v>409.9930983066298</v>
      </c>
      <c r="M6" s="133">
        <f>H6*Inputs!$B$126</f>
        <v>2340.9432607003441</v>
      </c>
      <c r="N6" s="48">
        <f>I6*Inputs!$B$127</f>
        <v>6184.6111034470514</v>
      </c>
      <c r="O6" s="48">
        <f>J6*Inputs!$B$128</f>
        <v>1796.2690231325514</v>
      </c>
      <c r="P6" s="48">
        <f>K6*Inputs!$B$128</f>
        <v>16737.961351916954</v>
      </c>
      <c r="Q6" s="48">
        <f>SCC!C14*L6</f>
        <v>19291.416813752829</v>
      </c>
      <c r="R6" s="48">
        <f t="shared" si="5"/>
        <v>27059.784739196901</v>
      </c>
      <c r="S6" s="48">
        <f>ROUND(R6/((1+Inputs!$B$3)^(A6-2016)),0)</f>
        <v>20644</v>
      </c>
      <c r="T6" s="55">
        <f t="shared" si="6"/>
        <v>19291.416813752829</v>
      </c>
      <c r="U6" s="57">
        <f t="shared" si="7"/>
        <v>39935.416813752832</v>
      </c>
    </row>
    <row r="7" spans="1:21" x14ac:dyDescent="0.25">
      <c r="A7" s="41">
        <v>2021</v>
      </c>
      <c r="B7" s="166">
        <f>'Reduced VMT'!Q11</f>
        <v>1125366.9137678817</v>
      </c>
      <c r="C7" s="168">
        <f>Inputs!$B$130</f>
        <v>1.034</v>
      </c>
      <c r="D7" s="106">
        <f>Inputs!$B$131</f>
        <v>0.69299999999999995</v>
      </c>
      <c r="E7" s="106">
        <f>Inputs!$B$132</f>
        <v>4.4000000000000003E-3</v>
      </c>
      <c r="F7" s="106">
        <f>Inputs!$B$133</f>
        <v>4.1000000000000002E-2</v>
      </c>
      <c r="G7" s="169">
        <f>Inputs!$B$134</f>
        <v>368.4</v>
      </c>
      <c r="H7" s="167">
        <f t="shared" si="0"/>
        <v>1.1636293888359897</v>
      </c>
      <c r="I7" s="38">
        <f t="shared" si="1"/>
        <v>0.77987927124114198</v>
      </c>
      <c r="J7" s="38">
        <f t="shared" si="2"/>
        <v>4.9516144205786795E-3</v>
      </c>
      <c r="K7" s="38">
        <f t="shared" si="3"/>
        <v>4.6140043464483152E-2</v>
      </c>
      <c r="L7" s="166">
        <f t="shared" si="4"/>
        <v>414.58517103208754</v>
      </c>
      <c r="M7" s="133">
        <f>H7*Inputs!$B$126</f>
        <v>2367.1626818167128</v>
      </c>
      <c r="N7" s="48">
        <f>I7*Inputs!$B$127</f>
        <v>6253.8810108747675</v>
      </c>
      <c r="O7" s="48">
        <f>J7*Inputs!$B$128</f>
        <v>1816.3878934812969</v>
      </c>
      <c r="P7" s="48">
        <f>K7*Inputs!$B$128</f>
        <v>16925.432643802997</v>
      </c>
      <c r="Q7" s="48">
        <f>SCC!C15*L7</f>
        <v>19507.487741170291</v>
      </c>
      <c r="R7" s="48">
        <f t="shared" si="5"/>
        <v>27362.864229975774</v>
      </c>
      <c r="S7" s="48">
        <f>ROUND(R7/((1+Inputs!$B$3)^(A7-2016)),0)</f>
        <v>19509</v>
      </c>
      <c r="T7" s="55">
        <f t="shared" si="6"/>
        <v>19507.487741170291</v>
      </c>
      <c r="U7" s="57">
        <f t="shared" si="7"/>
        <v>39016.487741170291</v>
      </c>
    </row>
    <row r="8" spans="1:21" x14ac:dyDescent="0.25">
      <c r="A8" s="41">
        <v>2022</v>
      </c>
      <c r="B8" s="166">
        <f>'Reduced VMT'!Q12</f>
        <v>1137971.4349956545</v>
      </c>
      <c r="C8" s="168">
        <f>Inputs!$B$130</f>
        <v>1.034</v>
      </c>
      <c r="D8" s="106">
        <f>Inputs!$B$131</f>
        <v>0.69299999999999995</v>
      </c>
      <c r="E8" s="106">
        <f>Inputs!$B$132</f>
        <v>4.4000000000000003E-3</v>
      </c>
      <c r="F8" s="106">
        <f>Inputs!$B$133</f>
        <v>4.1000000000000002E-2</v>
      </c>
      <c r="G8" s="169">
        <f>Inputs!$B$134</f>
        <v>368.4</v>
      </c>
      <c r="H8" s="167">
        <f t="shared" si="0"/>
        <v>1.1766624637855068</v>
      </c>
      <c r="I8" s="38">
        <f t="shared" si="1"/>
        <v>0.7886142044519886</v>
      </c>
      <c r="J8" s="38">
        <f t="shared" si="2"/>
        <v>5.0070743139808797E-3</v>
      </c>
      <c r="K8" s="38">
        <f t="shared" si="3"/>
        <v>4.6656828834821834E-2</v>
      </c>
      <c r="L8" s="166">
        <f t="shared" si="4"/>
        <v>419.22867665239914</v>
      </c>
      <c r="M8" s="133">
        <f>H8*Inputs!$B$126</f>
        <v>2393.6757700437802</v>
      </c>
      <c r="N8" s="48">
        <f>I8*Inputs!$B$127</f>
        <v>6323.9267666128781</v>
      </c>
      <c r="O8" s="48">
        <f>J8*Inputs!$B$128</f>
        <v>1836.7321025398342</v>
      </c>
      <c r="P8" s="48">
        <f>K8*Inputs!$B$128</f>
        <v>17115.003682757546</v>
      </c>
      <c r="Q8" s="48">
        <f>SCC!C16*L8</f>
        <v>20145.680417401923</v>
      </c>
      <c r="R8" s="48">
        <f t="shared" si="5"/>
        <v>27669.338321954037</v>
      </c>
      <c r="S8" s="48">
        <f>ROUND(R8/((1+Inputs!$B$3)^(A8-2016)),0)</f>
        <v>18437</v>
      </c>
      <c r="T8" s="55">
        <f t="shared" si="6"/>
        <v>20145.680417401923</v>
      </c>
      <c r="U8" s="57">
        <f t="shared" si="7"/>
        <v>38582.68041740192</v>
      </c>
    </row>
    <row r="9" spans="1:21" x14ac:dyDescent="0.25">
      <c r="A9" s="41">
        <v>2023</v>
      </c>
      <c r="B9" s="166">
        <f>'Reduced VMT'!Q13</f>
        <v>1150717.1314734169</v>
      </c>
      <c r="C9" s="168">
        <f>Inputs!$B$130</f>
        <v>1.034</v>
      </c>
      <c r="D9" s="106">
        <f>Inputs!$B$131</f>
        <v>0.69299999999999995</v>
      </c>
      <c r="E9" s="106">
        <f>Inputs!$B$132</f>
        <v>4.4000000000000003E-3</v>
      </c>
      <c r="F9" s="106">
        <f>Inputs!$B$133</f>
        <v>4.1000000000000002E-2</v>
      </c>
      <c r="G9" s="169">
        <f>Inputs!$B$134</f>
        <v>368.4</v>
      </c>
      <c r="H9" s="167">
        <f t="shared" si="0"/>
        <v>1.1898415139435132</v>
      </c>
      <c r="I9" s="38">
        <f t="shared" si="1"/>
        <v>0.79744697211107785</v>
      </c>
      <c r="J9" s="38">
        <f t="shared" si="2"/>
        <v>5.0631553784830346E-3</v>
      </c>
      <c r="K9" s="38">
        <f t="shared" si="3"/>
        <v>4.7179402390410095E-2</v>
      </c>
      <c r="L9" s="166">
        <f t="shared" si="4"/>
        <v>423.92419123480676</v>
      </c>
      <c r="M9" s="133">
        <f>H9*Inputs!$B$126</f>
        <v>2420.4858145606436</v>
      </c>
      <c r="N9" s="48">
        <f>I9*Inputs!$B$127</f>
        <v>6394.7570604463544</v>
      </c>
      <c r="O9" s="48">
        <f>J9*Inputs!$B$128</f>
        <v>1857.3041741841673</v>
      </c>
      <c r="P9" s="48">
        <f>K9*Inputs!$B$128</f>
        <v>17306.697986716106</v>
      </c>
      <c r="Q9" s="48">
        <f>SCC!C17*L9</f>
        <v>21220.124385179031</v>
      </c>
      <c r="R9" s="48">
        <f t="shared" si="5"/>
        <v>27979.245035907272</v>
      </c>
      <c r="S9" s="48">
        <f>ROUND(R9/((1+Inputs!$B$3)^(A9-2016)),0)</f>
        <v>17424</v>
      </c>
      <c r="T9" s="55">
        <f t="shared" si="6"/>
        <v>21220.124385179031</v>
      </c>
      <c r="U9" s="57">
        <f t="shared" si="7"/>
        <v>38644.124385179035</v>
      </c>
    </row>
    <row r="10" spans="1:21" x14ac:dyDescent="0.25">
      <c r="A10" s="41">
        <v>2024</v>
      </c>
      <c r="B10" s="166">
        <f>'Reduced VMT'!Q14</f>
        <v>1163605.5844156276</v>
      </c>
      <c r="C10" s="168">
        <f>Inputs!$B$130</f>
        <v>1.034</v>
      </c>
      <c r="D10" s="106">
        <f>Inputs!$B$131</f>
        <v>0.69299999999999995</v>
      </c>
      <c r="E10" s="106">
        <f>Inputs!$B$132</f>
        <v>4.4000000000000003E-3</v>
      </c>
      <c r="F10" s="106">
        <f>Inputs!$B$133</f>
        <v>4.1000000000000002E-2</v>
      </c>
      <c r="G10" s="169">
        <f>Inputs!$B$134</f>
        <v>368.4</v>
      </c>
      <c r="H10" s="167">
        <f t="shared" si="0"/>
        <v>1.203168174285759</v>
      </c>
      <c r="I10" s="38">
        <f t="shared" si="1"/>
        <v>0.80637867000002983</v>
      </c>
      <c r="J10" s="38">
        <f t="shared" si="2"/>
        <v>5.119864571428762E-3</v>
      </c>
      <c r="K10" s="38">
        <f t="shared" si="3"/>
        <v>4.7707828961040741E-2</v>
      </c>
      <c r="L10" s="166">
        <f t="shared" si="4"/>
        <v>428.67229729871718</v>
      </c>
      <c r="M10" s="133">
        <f>H10*Inputs!$B$126</f>
        <v>2447.5961413864102</v>
      </c>
      <c r="N10" s="48">
        <f>I10*Inputs!$B$127</f>
        <v>6466.3806794889424</v>
      </c>
      <c r="O10" s="48">
        <f>J10*Inputs!$B$128</f>
        <v>1878.1066605586368</v>
      </c>
      <c r="P10" s="48">
        <f>K10*Inputs!$B$128</f>
        <v>17500.539337023663</v>
      </c>
      <c r="Q10" s="48">
        <f>SCC!C18*L10</f>
        <v>21886.953494010922</v>
      </c>
      <c r="R10" s="48">
        <f t="shared" si="5"/>
        <v>28292.622818457654</v>
      </c>
      <c r="S10" s="48">
        <f>ROUND(R10/((1+Inputs!$B$3)^(A10-2016)),0)</f>
        <v>16467</v>
      </c>
      <c r="T10" s="55">
        <f t="shared" si="6"/>
        <v>21886.953494010922</v>
      </c>
      <c r="U10" s="57">
        <f t="shared" si="7"/>
        <v>38353.953494010922</v>
      </c>
    </row>
    <row r="11" spans="1:21" x14ac:dyDescent="0.25">
      <c r="A11" s="41">
        <v>2025</v>
      </c>
      <c r="B11" s="166">
        <f>'Reduced VMT'!Q15</f>
        <v>1176638.3927469258</v>
      </c>
      <c r="C11" s="168">
        <f>Inputs!$B$130</f>
        <v>1.034</v>
      </c>
      <c r="D11" s="106">
        <f>Inputs!$B$131</f>
        <v>0.69299999999999995</v>
      </c>
      <c r="E11" s="106">
        <f>Inputs!$B$132</f>
        <v>4.4000000000000003E-3</v>
      </c>
      <c r="F11" s="106">
        <f>Inputs!$B$133</f>
        <v>4.1000000000000002E-2</v>
      </c>
      <c r="G11" s="169">
        <f>Inputs!$B$134</f>
        <v>368.4</v>
      </c>
      <c r="H11" s="167">
        <f t="shared" si="0"/>
        <v>1.2166440981003213</v>
      </c>
      <c r="I11" s="38">
        <f t="shared" si="1"/>
        <v>0.8154104061736196</v>
      </c>
      <c r="J11" s="38">
        <f t="shared" si="2"/>
        <v>5.177208928086474E-3</v>
      </c>
      <c r="K11" s="38">
        <f t="shared" si="3"/>
        <v>4.8242174102623964E-2</v>
      </c>
      <c r="L11" s="166">
        <f t="shared" si="4"/>
        <v>433.47358388796749</v>
      </c>
      <c r="M11" s="133">
        <f>H11*Inputs!$B$126</f>
        <v>2475.01011379282</v>
      </c>
      <c r="N11" s="48">
        <f>I11*Inputs!$B$127</f>
        <v>6538.8065092732795</v>
      </c>
      <c r="O11" s="48">
        <f>J11*Inputs!$B$128</f>
        <v>1899.1421423925331</v>
      </c>
      <c r="P11" s="48">
        <f>K11*Inputs!$B$128</f>
        <v>17696.551781384966</v>
      </c>
      <c r="Q11" s="48">
        <f>SCC!C19*L11</f>
        <v>22566.058036553579</v>
      </c>
      <c r="R11" s="48">
        <f t="shared" si="5"/>
        <v>28609.510546843598</v>
      </c>
      <c r="S11" s="48">
        <f>ROUND(R11/((1+Inputs!$B$3)^(A11-2016)),0)</f>
        <v>15562</v>
      </c>
      <c r="T11" s="55">
        <f t="shared" si="6"/>
        <v>22566.058036553579</v>
      </c>
      <c r="U11" s="57">
        <f t="shared" si="7"/>
        <v>38128.058036553579</v>
      </c>
    </row>
    <row r="12" spans="1:21" x14ac:dyDescent="0.25">
      <c r="A12" s="41">
        <v>2026</v>
      </c>
      <c r="B12" s="166">
        <f>'Reduced VMT'!Q16</f>
        <v>1189817.1733004921</v>
      </c>
      <c r="C12" s="168">
        <f>Inputs!$B$130</f>
        <v>1.034</v>
      </c>
      <c r="D12" s="106">
        <f>Inputs!$B$131</f>
        <v>0.69299999999999995</v>
      </c>
      <c r="E12" s="106">
        <f>Inputs!$B$132</f>
        <v>4.4000000000000003E-3</v>
      </c>
      <c r="F12" s="106">
        <f>Inputs!$B$133</f>
        <v>4.1000000000000002E-2</v>
      </c>
      <c r="G12" s="169">
        <f>Inputs!$B$134</f>
        <v>368.4</v>
      </c>
      <c r="H12" s="167">
        <f t="shared" si="0"/>
        <v>1.2302709571927091</v>
      </c>
      <c r="I12" s="38">
        <f t="shared" si="1"/>
        <v>0.82454330109724094</v>
      </c>
      <c r="J12" s="38">
        <f t="shared" si="2"/>
        <v>5.2351955625221658E-3</v>
      </c>
      <c r="K12" s="38">
        <f t="shared" si="3"/>
        <v>4.878250410532018E-2</v>
      </c>
      <c r="L12" s="166">
        <f t="shared" si="4"/>
        <v>438.32864664390127</v>
      </c>
      <c r="M12" s="133">
        <f>H12*Inputs!$B$126</f>
        <v>2502.7311327214866</v>
      </c>
      <c r="N12" s="48">
        <f>I12*Inputs!$B$127</f>
        <v>6612.0435348532164</v>
      </c>
      <c r="O12" s="48">
        <f>J12*Inputs!$B$128</f>
        <v>1920.4132293202601</v>
      </c>
      <c r="P12" s="48">
        <f>K12*Inputs!$B$128</f>
        <v>17894.759636847877</v>
      </c>
      <c r="Q12" s="48">
        <f>SCC!C20*L12</f>
        <v>23257.629338996532</v>
      </c>
      <c r="R12" s="48">
        <f t="shared" si="5"/>
        <v>28929.947533742841</v>
      </c>
      <c r="S12" s="48">
        <f>ROUND(R12/((1+Inputs!$B$3)^(A12-2016)),0)</f>
        <v>14707</v>
      </c>
      <c r="T12" s="55">
        <f t="shared" si="6"/>
        <v>23257.629338996532</v>
      </c>
      <c r="U12" s="57">
        <f t="shared" si="7"/>
        <v>37964.629338996529</v>
      </c>
    </row>
    <row r="13" spans="1:21" x14ac:dyDescent="0.25">
      <c r="A13" s="41">
        <v>2027</v>
      </c>
      <c r="B13" s="166">
        <f>'Reduced VMT'!Q17</f>
        <v>1203143.5610186297</v>
      </c>
      <c r="C13" s="168">
        <f>Inputs!$B$130</f>
        <v>1.034</v>
      </c>
      <c r="D13" s="106">
        <f>Inputs!$B$131</f>
        <v>0.69299999999999995</v>
      </c>
      <c r="E13" s="106">
        <f>Inputs!$B$132</f>
        <v>4.4000000000000003E-3</v>
      </c>
      <c r="F13" s="106">
        <f>Inputs!$B$133</f>
        <v>4.1000000000000002E-2</v>
      </c>
      <c r="G13" s="169">
        <f>Inputs!$B$134</f>
        <v>368.4</v>
      </c>
      <c r="H13" s="167">
        <f t="shared" si="0"/>
        <v>1.2440504420932632</v>
      </c>
      <c r="I13" s="38">
        <f t="shared" si="1"/>
        <v>0.83377848778591035</v>
      </c>
      <c r="J13" s="38">
        <f t="shared" si="2"/>
        <v>5.2938316684819709E-3</v>
      </c>
      <c r="K13" s="38">
        <f t="shared" si="3"/>
        <v>4.9328886001763821E-2</v>
      </c>
      <c r="L13" s="166">
        <f t="shared" si="4"/>
        <v>443.23808787926316</v>
      </c>
      <c r="M13" s="133">
        <f>H13*Inputs!$B$126</f>
        <v>2530.7626372058116</v>
      </c>
      <c r="N13" s="48">
        <f>I13*Inputs!$B$127</f>
        <v>6686.1008419184973</v>
      </c>
      <c r="O13" s="48">
        <f>J13*Inputs!$B$128</f>
        <v>1941.9225602050808</v>
      </c>
      <c r="P13" s="48">
        <f>K13*Inputs!$B$128</f>
        <v>18095.18749282007</v>
      </c>
      <c r="Q13" s="48">
        <f>SCC!C21*L13</f>
        <v>23961.861473444958</v>
      </c>
      <c r="R13" s="48">
        <f t="shared" si="5"/>
        <v>29253.973532149459</v>
      </c>
      <c r="S13" s="48">
        <f>ROUND(R13/((1+Inputs!$B$3)^(A13-2016)),0)</f>
        <v>13898</v>
      </c>
      <c r="T13" s="55">
        <f t="shared" si="6"/>
        <v>23961.861473444958</v>
      </c>
      <c r="U13" s="57">
        <f t="shared" si="7"/>
        <v>37859.861473444958</v>
      </c>
    </row>
    <row r="14" spans="1:21" x14ac:dyDescent="0.25">
      <c r="A14" s="41">
        <v>2028</v>
      </c>
      <c r="B14" s="166">
        <f>'Reduced VMT'!Q18</f>
        <v>1216619.209155594</v>
      </c>
      <c r="C14" s="168">
        <f>Inputs!$B$130</f>
        <v>1.034</v>
      </c>
      <c r="D14" s="106">
        <f>Inputs!$B$131</f>
        <v>0.69299999999999995</v>
      </c>
      <c r="E14" s="106">
        <f>Inputs!$B$132</f>
        <v>4.4000000000000003E-3</v>
      </c>
      <c r="F14" s="106">
        <f>Inputs!$B$133</f>
        <v>4.1000000000000002E-2</v>
      </c>
      <c r="G14" s="169">
        <f>Inputs!$B$134</f>
        <v>368.4</v>
      </c>
      <c r="H14" s="167">
        <f t="shared" si="0"/>
        <v>1.2579842622668844</v>
      </c>
      <c r="I14" s="38">
        <f t="shared" si="1"/>
        <v>0.84311711194482652</v>
      </c>
      <c r="J14" s="38">
        <f t="shared" si="2"/>
        <v>5.3531245202846139E-3</v>
      </c>
      <c r="K14" s="38">
        <f t="shared" si="3"/>
        <v>4.9881387575379355E-2</v>
      </c>
      <c r="L14" s="166">
        <f t="shared" si="4"/>
        <v>448.20251665292079</v>
      </c>
      <c r="M14" s="133">
        <f>H14*Inputs!$B$126</f>
        <v>2559.1081047976327</v>
      </c>
      <c r="N14" s="48">
        <f>I14*Inputs!$B$127</f>
        <v>6760.9876179219127</v>
      </c>
      <c r="O14" s="48">
        <f>J14*Inputs!$B$128</f>
        <v>1963.6728034664927</v>
      </c>
      <c r="P14" s="48">
        <f>K14*Inputs!$B$128</f>
        <v>18297.860214119592</v>
      </c>
      <c r="Q14" s="48">
        <f>SCC!C22*L14</f>
        <v>24678.951295428658</v>
      </c>
      <c r="R14" s="48">
        <f t="shared" si="5"/>
        <v>29581.628740305627</v>
      </c>
      <c r="S14" s="48">
        <f>ROUND(R14/((1+Inputs!$B$3)^(A14-2016)),0)</f>
        <v>13135</v>
      </c>
      <c r="T14" s="55">
        <f t="shared" si="6"/>
        <v>24678.951295428658</v>
      </c>
      <c r="U14" s="57">
        <f t="shared" si="7"/>
        <v>37813.951295428662</v>
      </c>
    </row>
    <row r="15" spans="1:21" x14ac:dyDescent="0.25">
      <c r="A15" s="41">
        <v>2029</v>
      </c>
      <c r="B15" s="166">
        <f>'Reduced VMT'!Q19</f>
        <v>1230245.789482693</v>
      </c>
      <c r="C15" s="168">
        <f>Inputs!$B$130</f>
        <v>1.034</v>
      </c>
      <c r="D15" s="106">
        <f>Inputs!$B$131</f>
        <v>0.69299999999999995</v>
      </c>
      <c r="E15" s="106">
        <f>Inputs!$B$132</f>
        <v>4.4000000000000003E-3</v>
      </c>
      <c r="F15" s="106">
        <f>Inputs!$B$133</f>
        <v>4.1000000000000002E-2</v>
      </c>
      <c r="G15" s="169">
        <f>Inputs!$B$134</f>
        <v>368.4</v>
      </c>
      <c r="H15" s="167">
        <f t="shared" si="0"/>
        <v>1.2720741463251046</v>
      </c>
      <c r="I15" s="38">
        <f t="shared" si="1"/>
        <v>0.85256033211150617</v>
      </c>
      <c r="J15" s="38">
        <f t="shared" si="2"/>
        <v>5.4130814737238494E-3</v>
      </c>
      <c r="K15" s="38">
        <f t="shared" si="3"/>
        <v>5.0440077368790415E-2</v>
      </c>
      <c r="L15" s="166">
        <f t="shared" si="4"/>
        <v>453.22254884542406</v>
      </c>
      <c r="M15" s="133">
        <f>H15*Inputs!$B$126</f>
        <v>2587.7710519986372</v>
      </c>
      <c r="N15" s="48">
        <f>I15*Inputs!$B$127</f>
        <v>6836.7131532190897</v>
      </c>
      <c r="O15" s="48">
        <f>J15*Inputs!$B$128</f>
        <v>1985.6666574112678</v>
      </c>
      <c r="P15" s="48">
        <f>K15*Inputs!$B$128</f>
        <v>18502.802944059542</v>
      </c>
      <c r="Q15" s="48">
        <f>SCC!C23*L15</f>
        <v>24955.364580444209</v>
      </c>
      <c r="R15" s="48">
        <f t="shared" si="5"/>
        <v>29912.953806688536</v>
      </c>
      <c r="S15" s="48">
        <f>ROUND(R15/((1+Inputs!$B$3)^(A15-2016)),0)</f>
        <v>12413</v>
      </c>
      <c r="T15" s="55">
        <f t="shared" si="6"/>
        <v>24955.364580444209</v>
      </c>
      <c r="U15" s="57">
        <f t="shared" si="7"/>
        <v>37368.364580444206</v>
      </c>
    </row>
    <row r="16" spans="1:21" x14ac:dyDescent="0.25">
      <c r="A16" s="41">
        <v>2030</v>
      </c>
      <c r="B16" s="166">
        <f>'Reduced VMT'!Q20</f>
        <v>1244024.9924956858</v>
      </c>
      <c r="C16" s="168">
        <f>Inputs!$B$130</f>
        <v>1.034</v>
      </c>
      <c r="D16" s="106">
        <f>Inputs!$B$131</f>
        <v>0.69299999999999995</v>
      </c>
      <c r="E16" s="106">
        <f>Inputs!$B$132</f>
        <v>4.4000000000000003E-3</v>
      </c>
      <c r="F16" s="106">
        <f>Inputs!$B$133</f>
        <v>4.1000000000000002E-2</v>
      </c>
      <c r="G16" s="169">
        <f>Inputs!$B$134</f>
        <v>368.4</v>
      </c>
      <c r="H16" s="167">
        <f t="shared" si="0"/>
        <v>1.2863218422405391</v>
      </c>
      <c r="I16" s="38">
        <f t="shared" si="1"/>
        <v>0.86210931979951022</v>
      </c>
      <c r="J16" s="38">
        <f t="shared" si="2"/>
        <v>5.473709966981018E-3</v>
      </c>
      <c r="K16" s="38">
        <f t="shared" si="3"/>
        <v>5.1005024692323118E-2</v>
      </c>
      <c r="L16" s="166">
        <f t="shared" si="4"/>
        <v>458.29880723541061</v>
      </c>
      <c r="M16" s="133">
        <f>H16*Inputs!$B$126</f>
        <v>2616.7550346966218</v>
      </c>
      <c r="N16" s="48">
        <f>I16*Inputs!$B$127</f>
        <v>6913.2868422210386</v>
      </c>
      <c r="O16" s="48">
        <f>J16*Inputs!$B$128</f>
        <v>2007.9068505682026</v>
      </c>
      <c r="P16" s="48">
        <f>K16*Inputs!$B$128</f>
        <v>18710.04110756734</v>
      </c>
      <c r="Q16" s="48">
        <f>SCC!C24*L16</f>
        <v>25693.689682585962</v>
      </c>
      <c r="R16" s="48">
        <f t="shared" si="5"/>
        <v>30247.989835053202</v>
      </c>
      <c r="S16" s="48">
        <f>ROUND(R16/((1+Inputs!$B$3)^(A16-2016)),0)</f>
        <v>11731</v>
      </c>
      <c r="T16" s="55">
        <f t="shared" si="6"/>
        <v>25693.689682585962</v>
      </c>
      <c r="U16" s="57">
        <f t="shared" si="7"/>
        <v>37424.689682585959</v>
      </c>
    </row>
    <row r="17" spans="1:21" x14ac:dyDescent="0.25">
      <c r="A17" s="41">
        <v>2031</v>
      </c>
      <c r="B17" s="166">
        <f>'Reduced VMT'!Q21</f>
        <v>1257958.5276245011</v>
      </c>
      <c r="C17" s="168">
        <f>Inputs!$B$130</f>
        <v>1.034</v>
      </c>
      <c r="D17" s="106">
        <f>Inputs!$B$131</f>
        <v>0.69299999999999995</v>
      </c>
      <c r="E17" s="106">
        <f>Inputs!$B$132</f>
        <v>4.4000000000000003E-3</v>
      </c>
      <c r="F17" s="106">
        <f>Inputs!$B$133</f>
        <v>4.1000000000000002E-2</v>
      </c>
      <c r="G17" s="169">
        <f>Inputs!$B$134</f>
        <v>368.4</v>
      </c>
      <c r="H17" s="167">
        <f t="shared" si="0"/>
        <v>1.3007291175637343</v>
      </c>
      <c r="I17" s="38">
        <f t="shared" si="1"/>
        <v>0.87176525964377927</v>
      </c>
      <c r="J17" s="38">
        <f t="shared" si="2"/>
        <v>5.5350175215478055E-3</v>
      </c>
      <c r="K17" s="38">
        <f t="shared" si="3"/>
        <v>5.1576299632604544E-2</v>
      </c>
      <c r="L17" s="166">
        <f t="shared" si="4"/>
        <v>463.43192157686622</v>
      </c>
      <c r="M17" s="133">
        <f>H17*Inputs!$B$126</f>
        <v>2646.0636486066246</v>
      </c>
      <c r="N17" s="48">
        <f>I17*Inputs!$B$127</f>
        <v>6990.7181845596033</v>
      </c>
      <c r="O17" s="48">
        <f>J17*Inputs!$B$128</f>
        <v>2030.3961420266119</v>
      </c>
      <c r="P17" s="48">
        <f>K17*Inputs!$B$128</f>
        <v>18919.600414338882</v>
      </c>
      <c r="Q17" s="48">
        <f>SCC!C25*L17</f>
        <v>26909.377994880488</v>
      </c>
      <c r="R17" s="48">
        <f t="shared" si="5"/>
        <v>30586.778389531719</v>
      </c>
      <c r="S17" s="48">
        <f>ROUND(R17/((1+Inputs!$B$3)^(A17-2016)),0)</f>
        <v>11086</v>
      </c>
      <c r="T17" s="55">
        <f t="shared" si="6"/>
        <v>26909.377994880488</v>
      </c>
      <c r="U17" s="57">
        <f t="shared" si="7"/>
        <v>37995.377994880488</v>
      </c>
    </row>
    <row r="18" spans="1:21" x14ac:dyDescent="0.25">
      <c r="A18" s="41">
        <v>2032</v>
      </c>
      <c r="B18" s="166">
        <f>'Reduced VMT'!Q22</f>
        <v>1272048.1234453102</v>
      </c>
      <c r="C18" s="168">
        <f>Inputs!$B$130</f>
        <v>1.034</v>
      </c>
      <c r="D18" s="106">
        <f>Inputs!$B$131</f>
        <v>0.69299999999999995</v>
      </c>
      <c r="E18" s="106">
        <f>Inputs!$B$132</f>
        <v>4.4000000000000003E-3</v>
      </c>
      <c r="F18" s="106">
        <f>Inputs!$B$133</f>
        <v>4.1000000000000002E-2</v>
      </c>
      <c r="G18" s="169">
        <f>Inputs!$B$134</f>
        <v>368.4</v>
      </c>
      <c r="H18" s="167">
        <f t="shared" si="0"/>
        <v>1.3152977596424509</v>
      </c>
      <c r="I18" s="38">
        <f t="shared" si="1"/>
        <v>0.88152934954759987</v>
      </c>
      <c r="J18" s="38">
        <f t="shared" si="2"/>
        <v>5.5970117431593655E-3</v>
      </c>
      <c r="K18" s="38">
        <f t="shared" si="3"/>
        <v>5.215397306125772E-2</v>
      </c>
      <c r="L18" s="166">
        <f t="shared" si="4"/>
        <v>468.62252867725221</v>
      </c>
      <c r="M18" s="133">
        <f>H18*Inputs!$B$126</f>
        <v>2675.7005297170099</v>
      </c>
      <c r="N18" s="48">
        <f>I18*Inputs!$B$127</f>
        <v>7069.01678626599</v>
      </c>
      <c r="O18" s="48">
        <f>J18*Inputs!$B$128</f>
        <v>2053.137321778624</v>
      </c>
      <c r="P18" s="48">
        <f>K18*Inputs!$B$128</f>
        <v>19131.506862028084</v>
      </c>
      <c r="Q18" s="48">
        <f>SCC!C26*L18</f>
        <v>27679.924131553278</v>
      </c>
      <c r="R18" s="48">
        <f t="shared" si="5"/>
        <v>30929.361499789709</v>
      </c>
      <c r="S18" s="48">
        <f>ROUND(R18/((1+Inputs!$B$3)^(A18-2016)),0)</f>
        <v>10477</v>
      </c>
      <c r="T18" s="55">
        <f t="shared" si="6"/>
        <v>27679.924131553278</v>
      </c>
      <c r="U18" s="57">
        <f t="shared" si="7"/>
        <v>38156.924131553278</v>
      </c>
    </row>
    <row r="19" spans="1:21" x14ac:dyDescent="0.25">
      <c r="A19" s="41">
        <v>2033</v>
      </c>
      <c r="B19" s="166">
        <f>'Reduced VMT'!Q23</f>
        <v>1286295.5278949686</v>
      </c>
      <c r="C19" s="168">
        <f>Inputs!$B$130</f>
        <v>1.034</v>
      </c>
      <c r="D19" s="106">
        <f>Inputs!$B$131</f>
        <v>0.69299999999999995</v>
      </c>
      <c r="E19" s="106">
        <f>Inputs!$B$132</f>
        <v>4.4000000000000003E-3</v>
      </c>
      <c r="F19" s="106">
        <f>Inputs!$B$133</f>
        <v>4.1000000000000002E-2</v>
      </c>
      <c r="G19" s="169">
        <f>Inputs!$B$134</f>
        <v>368.4</v>
      </c>
      <c r="H19" s="167">
        <f t="shared" si="0"/>
        <v>1.3300295758433975</v>
      </c>
      <c r="I19" s="38">
        <f t="shared" si="1"/>
        <v>0.89140280083121326</v>
      </c>
      <c r="J19" s="38">
        <f t="shared" si="2"/>
        <v>5.6597003227378626E-3</v>
      </c>
      <c r="K19" s="38">
        <f t="shared" si="3"/>
        <v>5.2738116643693711E-2</v>
      </c>
      <c r="L19" s="166">
        <f t="shared" si="4"/>
        <v>473.87127247650642</v>
      </c>
      <c r="M19" s="133">
        <f>H19*Inputs!$B$126</f>
        <v>2705.6693547405407</v>
      </c>
      <c r="N19" s="48">
        <f>I19*Inputs!$B$127</f>
        <v>7148.1923609624673</v>
      </c>
      <c r="O19" s="48">
        <f>J19*Inputs!$B$128</f>
        <v>2076.133211065297</v>
      </c>
      <c r="P19" s="48">
        <f>K19*Inputs!$B$128</f>
        <v>19345.786739472082</v>
      </c>
      <c r="Q19" s="48">
        <f>SCC!C27*L19</f>
        <v>28464.355332658553</v>
      </c>
      <c r="R19" s="48">
        <f t="shared" si="5"/>
        <v>31275.781666240386</v>
      </c>
      <c r="S19" s="48">
        <f>ROUND(R19/((1+Inputs!$B$3)^(A19-2016)),0)</f>
        <v>9901</v>
      </c>
      <c r="T19" s="55">
        <f t="shared" si="6"/>
        <v>28464.355332658553</v>
      </c>
      <c r="U19" s="57">
        <f t="shared" si="7"/>
        <v>38365.355332658553</v>
      </c>
    </row>
    <row r="20" spans="1:21" x14ac:dyDescent="0.25">
      <c r="A20" s="41">
        <v>2034</v>
      </c>
      <c r="B20" s="166">
        <f>'Reduced VMT'!Q24</f>
        <v>1300702.5084878644</v>
      </c>
      <c r="C20" s="168">
        <f>Inputs!$B$130</f>
        <v>1.034</v>
      </c>
      <c r="D20" s="106">
        <f>Inputs!$B$131</f>
        <v>0.69299999999999995</v>
      </c>
      <c r="E20" s="106">
        <f>Inputs!$B$132</f>
        <v>4.4000000000000003E-3</v>
      </c>
      <c r="F20" s="106">
        <f>Inputs!$B$133</f>
        <v>4.1000000000000002E-2</v>
      </c>
      <c r="G20" s="169">
        <f>Inputs!$B$134</f>
        <v>368.4</v>
      </c>
      <c r="H20" s="167">
        <f t="shared" si="0"/>
        <v>1.344926393776452</v>
      </c>
      <c r="I20" s="38">
        <f t="shared" si="1"/>
        <v>0.90138683838208999</v>
      </c>
      <c r="J20" s="38">
        <f t="shared" si="2"/>
        <v>5.7230910373466037E-3</v>
      </c>
      <c r="K20" s="38">
        <f t="shared" si="3"/>
        <v>5.3328802848002441E-2</v>
      </c>
      <c r="L20" s="166">
        <f t="shared" si="4"/>
        <v>479.17880412692921</v>
      </c>
      <c r="M20" s="133">
        <f>H20*Inputs!$B$126</f>
        <v>2735.9738415705092</v>
      </c>
      <c r="N20" s="48">
        <f>I20*Inputs!$B$127</f>
        <v>7228.254731067419</v>
      </c>
      <c r="O20" s="48">
        <f>J20*Inputs!$B$128</f>
        <v>2099.3866627266216</v>
      </c>
      <c r="P20" s="48">
        <f>K20*Inputs!$B$128</f>
        <v>19562.466629952611</v>
      </c>
      <c r="Q20" s="48">
        <f>SCC!C28*L20</f>
        <v>29262.885970177871</v>
      </c>
      <c r="R20" s="48">
        <f t="shared" si="5"/>
        <v>31626.081865317159</v>
      </c>
      <c r="S20" s="48">
        <f>ROUND(R20/((1+Inputs!$B$3)^(A20-2016)),0)</f>
        <v>9357</v>
      </c>
      <c r="T20" s="55">
        <f t="shared" si="6"/>
        <v>29262.885970177871</v>
      </c>
      <c r="U20" s="57">
        <f t="shared" si="7"/>
        <v>38619.885970177871</v>
      </c>
    </row>
    <row r="21" spans="1:21" x14ac:dyDescent="0.25">
      <c r="A21" s="41">
        <v>2035</v>
      </c>
      <c r="B21" s="166">
        <f>'Reduced VMT'!Q25</f>
        <v>1315270.8525351945</v>
      </c>
      <c r="C21" s="168">
        <f>Inputs!$B$130</f>
        <v>1.034</v>
      </c>
      <c r="D21" s="106">
        <f>Inputs!$B$131</f>
        <v>0.69299999999999995</v>
      </c>
      <c r="E21" s="106">
        <f>Inputs!$B$132</f>
        <v>4.4000000000000003E-3</v>
      </c>
      <c r="F21" s="106">
        <f>Inputs!$B$133</f>
        <v>4.1000000000000002E-2</v>
      </c>
      <c r="G21" s="169">
        <f>Inputs!$B$134</f>
        <v>368.4</v>
      </c>
      <c r="H21" s="167">
        <f t="shared" si="0"/>
        <v>1.3599900615213911</v>
      </c>
      <c r="I21" s="38">
        <f t="shared" si="1"/>
        <v>0.91148270080688965</v>
      </c>
      <c r="J21" s="38">
        <f t="shared" si="2"/>
        <v>5.7871917511548559E-3</v>
      </c>
      <c r="K21" s="38">
        <f t="shared" si="3"/>
        <v>5.3926104953942976E-2</v>
      </c>
      <c r="L21" s="166">
        <f t="shared" si="4"/>
        <v>484.5457820739656</v>
      </c>
      <c r="M21" s="133">
        <f>H21*Inputs!$B$126</f>
        <v>2766.6177497419721</v>
      </c>
      <c r="N21" s="48">
        <f>I21*Inputs!$B$127</f>
        <v>7309.2138290139219</v>
      </c>
      <c r="O21" s="48">
        <f>J21*Inputs!$B$128</f>
        <v>2122.9005615554429</v>
      </c>
      <c r="P21" s="48">
        <f>K21*Inputs!$B$128</f>
        <v>19781.573414493898</v>
      </c>
      <c r="Q21" s="48">
        <f>SCC!C29*L21</f>
        <v>30075.733476325804</v>
      </c>
      <c r="R21" s="48">
        <f t="shared" si="5"/>
        <v>31980.305554805236</v>
      </c>
      <c r="S21" s="48">
        <f>ROUND(R21/((1+Inputs!$B$3)^(A21-2016)),0)</f>
        <v>8843</v>
      </c>
      <c r="T21" s="55">
        <f t="shared" si="6"/>
        <v>30075.733476325804</v>
      </c>
      <c r="U21" s="57">
        <f t="shared" si="7"/>
        <v>38918.733476325804</v>
      </c>
    </row>
    <row r="22" spans="1:21" x14ac:dyDescent="0.25">
      <c r="A22" s="41">
        <v>2036</v>
      </c>
      <c r="B22" s="166">
        <f>'Reduced VMT'!Q26</f>
        <v>1330002.3673666944</v>
      </c>
      <c r="C22" s="168">
        <f>Inputs!$B$130</f>
        <v>1.034</v>
      </c>
      <c r="D22" s="106">
        <f>Inputs!$B$131</f>
        <v>0.69299999999999995</v>
      </c>
      <c r="E22" s="106">
        <f>Inputs!$B$132</f>
        <v>4.4000000000000003E-3</v>
      </c>
      <c r="F22" s="106">
        <f>Inputs!$B$133</f>
        <v>4.1000000000000002E-2</v>
      </c>
      <c r="G22" s="169">
        <f>Inputs!$B$134</f>
        <v>368.4</v>
      </c>
      <c r="H22" s="167">
        <f t="shared" si="0"/>
        <v>1.375222447857162</v>
      </c>
      <c r="I22" s="38">
        <f t="shared" si="1"/>
        <v>0.9216916405851191</v>
      </c>
      <c r="J22" s="38">
        <f t="shared" si="2"/>
        <v>5.8520104164134553E-3</v>
      </c>
      <c r="K22" s="38">
        <f t="shared" si="3"/>
        <v>5.4530097062034474E-2</v>
      </c>
      <c r="L22" s="166">
        <f t="shared" si="4"/>
        <v>489.97287213789014</v>
      </c>
      <c r="M22" s="133">
        <f>H22*Inputs!$B$126</f>
        <v>2797.6048808981568</v>
      </c>
      <c r="N22" s="48">
        <f>I22*Inputs!$B$127</f>
        <v>7391.0796984819308</v>
      </c>
      <c r="O22" s="48">
        <f>J22*Inputs!$B$128</f>
        <v>2146.6778246553386</v>
      </c>
      <c r="P22" s="48">
        <f>K22*Inputs!$B$128</f>
        <v>20003.134275197473</v>
      </c>
      <c r="Q22" s="48">
        <f>SCC!C30*L22</f>
        <v>30903.118385208749</v>
      </c>
      <c r="R22" s="48">
        <f t="shared" si="5"/>
        <v>32338.4966792329</v>
      </c>
      <c r="S22" s="48">
        <f>ROUND(R22/((1+Inputs!$B$3)^(A22-2016)),0)</f>
        <v>8357</v>
      </c>
      <c r="T22" s="55">
        <f t="shared" si="6"/>
        <v>30903.118385208749</v>
      </c>
      <c r="U22" s="57">
        <f t="shared" si="7"/>
        <v>39260.118385208749</v>
      </c>
    </row>
    <row r="23" spans="1:21" x14ac:dyDescent="0.25">
      <c r="A23" s="41">
        <v>2037</v>
      </c>
      <c r="B23" s="166">
        <f>'Reduced VMT'!Q27</f>
        <v>1344898.8805548535</v>
      </c>
      <c r="C23" s="168">
        <f>Inputs!$B$130</f>
        <v>1.034</v>
      </c>
      <c r="D23" s="106">
        <f>Inputs!$B$131</f>
        <v>0.69299999999999995</v>
      </c>
      <c r="E23" s="106">
        <f>Inputs!$B$132</f>
        <v>4.4000000000000003E-3</v>
      </c>
      <c r="F23" s="106">
        <f>Inputs!$B$133</f>
        <v>4.1000000000000002E-2</v>
      </c>
      <c r="G23" s="169">
        <f>Inputs!$B$134</f>
        <v>368.4</v>
      </c>
      <c r="H23" s="167">
        <f t="shared" si="0"/>
        <v>1.3906254424937186</v>
      </c>
      <c r="I23" s="38">
        <f t="shared" si="1"/>
        <v>0.93201492422451337</v>
      </c>
      <c r="J23" s="38">
        <f t="shared" si="2"/>
        <v>5.9175550744413555E-3</v>
      </c>
      <c r="K23" s="38">
        <f t="shared" si="3"/>
        <v>5.5140854102748993E-2</v>
      </c>
      <c r="L23" s="166">
        <f t="shared" si="4"/>
        <v>495.460747596408</v>
      </c>
      <c r="M23" s="133">
        <f>H23*Inputs!$B$126</f>
        <v>2828.9390792620816</v>
      </c>
      <c r="N23" s="48">
        <f>I23*Inputs!$B$127</f>
        <v>7473.8624956442873</v>
      </c>
      <c r="O23" s="48">
        <f>J23*Inputs!$B$128</f>
        <v>2170.7214018025138</v>
      </c>
      <c r="P23" s="48">
        <f>K23*Inputs!$B$128</f>
        <v>20227.176698614334</v>
      </c>
      <c r="Q23" s="48">
        <f>SCC!C31*L23</f>
        <v>31745.264375033148</v>
      </c>
      <c r="R23" s="48">
        <f t="shared" si="5"/>
        <v>32700.699675323216</v>
      </c>
      <c r="S23" s="48">
        <f>ROUND(R23/((1+Inputs!$B$3)^(A23-2016)),0)</f>
        <v>7898</v>
      </c>
      <c r="T23" s="55">
        <f t="shared" si="6"/>
        <v>31745.264375033148</v>
      </c>
      <c r="U23" s="57">
        <f t="shared" si="7"/>
        <v>39643.264375033148</v>
      </c>
    </row>
    <row r="24" spans="1:21" x14ac:dyDescent="0.25">
      <c r="A24" s="41">
        <v>2038</v>
      </c>
      <c r="B24" s="166">
        <f>'Reduced VMT'!Q28</f>
        <v>1359962.2401416434</v>
      </c>
      <c r="C24" s="168">
        <f>Inputs!$B$130</f>
        <v>1.034</v>
      </c>
      <c r="D24" s="106">
        <f>Inputs!$B$131</f>
        <v>0.69299999999999995</v>
      </c>
      <c r="E24" s="106">
        <f>Inputs!$B$132</f>
        <v>4.4000000000000003E-3</v>
      </c>
      <c r="F24" s="106">
        <f>Inputs!$B$133</f>
        <v>4.1000000000000002E-2</v>
      </c>
      <c r="G24" s="169">
        <f>Inputs!$B$134</f>
        <v>368.4</v>
      </c>
      <c r="H24" s="167">
        <f t="shared" si="0"/>
        <v>1.4062009563064595</v>
      </c>
      <c r="I24" s="38">
        <f t="shared" si="1"/>
        <v>0.94245383241815883</v>
      </c>
      <c r="J24" s="38">
        <f t="shared" si="2"/>
        <v>5.9838338566232316E-3</v>
      </c>
      <c r="K24" s="38">
        <f t="shared" si="3"/>
        <v>5.575845184580739E-2</v>
      </c>
      <c r="L24" s="166">
        <f t="shared" si="4"/>
        <v>501.01008926818145</v>
      </c>
      <c r="M24" s="133">
        <f>H24*Inputs!$B$126</f>
        <v>2860.6242321134746</v>
      </c>
      <c r="N24" s="48">
        <f>I24*Inputs!$B$127</f>
        <v>7557.5724904266954</v>
      </c>
      <c r="O24" s="48">
        <f>J24*Inputs!$B$128</f>
        <v>2195.0342758117495</v>
      </c>
      <c r="P24" s="48">
        <f>K24*Inputs!$B$128</f>
        <v>20453.728479154939</v>
      </c>
      <c r="Q24" s="48">
        <f>SCC!C32*L24</f>
        <v>32602.398310870009</v>
      </c>
      <c r="R24" s="48">
        <f t="shared" si="5"/>
        <v>33066.959477506854</v>
      </c>
      <c r="S24" s="48">
        <f>ROUND(R24/((1+Inputs!$B$3)^(A24-2016)),0)</f>
        <v>7464</v>
      </c>
      <c r="T24" s="55">
        <f t="shared" si="6"/>
        <v>32602.398310870009</v>
      </c>
      <c r="U24" s="57">
        <f t="shared" si="7"/>
        <v>40066.398310870005</v>
      </c>
    </row>
    <row r="25" spans="1:21" x14ac:dyDescent="0.25">
      <c r="A25" s="41">
        <v>2039</v>
      </c>
      <c r="B25" s="166">
        <f>'Reduced VMT'!Q29</f>
        <v>1375194.3148677801</v>
      </c>
      <c r="C25" s="168">
        <f>Inputs!$B$130</f>
        <v>1.034</v>
      </c>
      <c r="D25" s="106">
        <f>Inputs!$B$131</f>
        <v>0.69299999999999995</v>
      </c>
      <c r="E25" s="106">
        <f>Inputs!$B$132</f>
        <v>4.4000000000000003E-3</v>
      </c>
      <c r="F25" s="106">
        <f>Inputs!$B$133</f>
        <v>4.1000000000000002E-2</v>
      </c>
      <c r="G25" s="169">
        <f>Inputs!$B$134</f>
        <v>368.4</v>
      </c>
      <c r="H25" s="167">
        <f t="shared" si="0"/>
        <v>1.4219509215732846</v>
      </c>
      <c r="I25" s="38">
        <f t="shared" si="1"/>
        <v>0.95300966020337152</v>
      </c>
      <c r="J25" s="38">
        <f t="shared" si="2"/>
        <v>6.0508549854182327E-3</v>
      </c>
      <c r="K25" s="38">
        <f t="shared" si="3"/>
        <v>5.6382966909578988E-2</v>
      </c>
      <c r="L25" s="166">
        <f t="shared" si="4"/>
        <v>506.62158559729016</v>
      </c>
      <c r="M25" s="133">
        <f>H25*Inputs!$B$126</f>
        <v>2892.6642702710128</v>
      </c>
      <c r="N25" s="48">
        <f>I25*Inputs!$B$127</f>
        <v>7642.2200677817727</v>
      </c>
      <c r="O25" s="48">
        <f>J25*Inputs!$B$128</f>
        <v>2219.6194629064394</v>
      </c>
      <c r="P25" s="48">
        <f>K25*Inputs!$B$128</f>
        <v>20682.817722537275</v>
      </c>
      <c r="Q25" s="48">
        <f>SCC!C33*L25</f>
        <v>33981.943474164502</v>
      </c>
      <c r="R25" s="48">
        <f t="shared" si="5"/>
        <v>33437.321523496503</v>
      </c>
      <c r="S25" s="48">
        <f>ROUND(R25/((1+Inputs!$B$3)^(A25-2016)),0)</f>
        <v>7053</v>
      </c>
      <c r="T25" s="55">
        <f t="shared" si="6"/>
        <v>33981.943474164502</v>
      </c>
      <c r="U25" s="57">
        <f t="shared" si="7"/>
        <v>41034.943474164502</v>
      </c>
    </row>
    <row r="26" spans="1:21" x14ac:dyDescent="0.25">
      <c r="A26" s="41">
        <v>2040</v>
      </c>
      <c r="B26" s="166">
        <f>'Reduced VMT'!Q30</f>
        <v>1390596.9944045618</v>
      </c>
      <c r="C26" s="168">
        <f>Inputs!$B$130</f>
        <v>1.034</v>
      </c>
      <c r="D26" s="106">
        <f>Inputs!$B$131</f>
        <v>0.69299999999999995</v>
      </c>
      <c r="E26" s="106">
        <f>Inputs!$B$132</f>
        <v>4.4000000000000003E-3</v>
      </c>
      <c r="F26" s="106">
        <f>Inputs!$B$133</f>
        <v>4.1000000000000002E-2</v>
      </c>
      <c r="G26" s="169">
        <f>Inputs!$B$134</f>
        <v>368.4</v>
      </c>
      <c r="H26" s="167">
        <f t="shared" si="0"/>
        <v>1.437877292214317</v>
      </c>
      <c r="I26" s="38">
        <f t="shared" si="1"/>
        <v>0.96368371712236134</v>
      </c>
      <c r="J26" s="38">
        <f t="shared" si="2"/>
        <v>6.1186267753800721E-3</v>
      </c>
      <c r="K26" s="38">
        <f t="shared" si="3"/>
        <v>5.701447677058704E-2</v>
      </c>
      <c r="L26" s="166">
        <f t="shared" si="4"/>
        <v>512.29593273864054</v>
      </c>
      <c r="M26" s="133">
        <f>H26*Inputs!$B$126</f>
        <v>2925.063168579989</v>
      </c>
      <c r="N26" s="48">
        <f>I26*Inputs!$B$127</f>
        <v>7727.8157289774226</v>
      </c>
      <c r="O26" s="48">
        <f>J26*Inputs!$B$128</f>
        <v>2244.4800130927874</v>
      </c>
      <c r="P26" s="48">
        <f>K26*Inputs!$B$128</f>
        <v>20914.472849273705</v>
      </c>
      <c r="Q26" s="48">
        <f>SCC!C34*L26</f>
        <v>34875.427611185725</v>
      </c>
      <c r="R26" s="48">
        <f t="shared" si="5"/>
        <v>33811.831759923902</v>
      </c>
      <c r="S26" s="48">
        <f>ROUND(R26/((1+Inputs!$B$3)^(A26-2016)),0)</f>
        <v>6666</v>
      </c>
      <c r="T26" s="55">
        <f t="shared" si="6"/>
        <v>34875.427611185725</v>
      </c>
      <c r="U26" s="57">
        <f t="shared" si="7"/>
        <v>41541.427611185725</v>
      </c>
    </row>
    <row r="27" spans="1:21" x14ac:dyDescent="0.25">
      <c r="A27" s="41">
        <v>2041</v>
      </c>
      <c r="B27" s="166">
        <f>'Reduced VMT'!Q31</f>
        <v>1406172.1895882937</v>
      </c>
      <c r="C27" s="168">
        <f>Inputs!$B$130</f>
        <v>1.034</v>
      </c>
      <c r="D27" s="106">
        <f>Inputs!$B$131</f>
        <v>0.69299999999999995</v>
      </c>
      <c r="E27" s="106">
        <f>Inputs!$B$132</f>
        <v>4.4000000000000003E-3</v>
      </c>
      <c r="F27" s="106">
        <f>Inputs!$B$133</f>
        <v>4.1000000000000002E-2</v>
      </c>
      <c r="G27" s="169">
        <f>Inputs!$B$134</f>
        <v>368.4</v>
      </c>
      <c r="H27" s="167">
        <f t="shared" si="0"/>
        <v>1.4539820440342957</v>
      </c>
      <c r="I27" s="38">
        <f t="shared" si="1"/>
        <v>0.97447732738468751</v>
      </c>
      <c r="J27" s="38">
        <f t="shared" si="2"/>
        <v>6.1871576341884929E-3</v>
      </c>
      <c r="K27" s="38">
        <f t="shared" si="3"/>
        <v>5.765305977312004E-2</v>
      </c>
      <c r="L27" s="166">
        <f t="shared" si="4"/>
        <v>518.03383464432738</v>
      </c>
      <c r="M27" s="133">
        <f>H27*Inputs!$B$126</f>
        <v>2957.8249464054079</v>
      </c>
      <c r="N27" s="48">
        <f>I27*Inputs!$B$127</f>
        <v>7814.3700928995695</v>
      </c>
      <c r="O27" s="48">
        <f>J27*Inputs!$B$128</f>
        <v>2269.6190105381793</v>
      </c>
      <c r="P27" s="48">
        <f>K27*Inputs!$B$128</f>
        <v>21148.722598196666</v>
      </c>
      <c r="Q27" s="48">
        <f>SCC!C35*L27</f>
        <v>35784.663473232395</v>
      </c>
      <c r="R27" s="48">
        <f t="shared" si="5"/>
        <v>34190.536648039822</v>
      </c>
      <c r="S27" s="48">
        <f>ROUND(R27/((1+Inputs!$B$3)^(A27-2016)),0)</f>
        <v>6300</v>
      </c>
      <c r="T27" s="55">
        <f t="shared" si="6"/>
        <v>35784.663473232395</v>
      </c>
      <c r="U27" s="57">
        <f t="shared" si="7"/>
        <v>42084.663473232395</v>
      </c>
    </row>
    <row r="28" spans="1:21" x14ac:dyDescent="0.25">
      <c r="A28" s="41">
        <v>2042</v>
      </c>
      <c r="B28" s="166">
        <f>'Reduced VMT'!Q32</f>
        <v>1421921.8326573493</v>
      </c>
      <c r="C28" s="168">
        <f>Inputs!$B$130</f>
        <v>1.034</v>
      </c>
      <c r="D28" s="106">
        <f>Inputs!$B$131</f>
        <v>0.69299999999999995</v>
      </c>
      <c r="E28" s="106">
        <f>Inputs!$B$132</f>
        <v>4.4000000000000003E-3</v>
      </c>
      <c r="F28" s="106">
        <f>Inputs!$B$133</f>
        <v>4.1000000000000002E-2</v>
      </c>
      <c r="G28" s="169">
        <f>Inputs!$B$134</f>
        <v>368.4</v>
      </c>
      <c r="H28" s="167">
        <f t="shared" si="0"/>
        <v>1.4702671749676992</v>
      </c>
      <c r="I28" s="38">
        <f t="shared" si="1"/>
        <v>0.98539183003154307</v>
      </c>
      <c r="J28" s="38">
        <f t="shared" si="2"/>
        <v>6.2564560636923366E-3</v>
      </c>
      <c r="K28" s="38">
        <f t="shared" si="3"/>
        <v>5.8298795138951323E-2</v>
      </c>
      <c r="L28" s="166">
        <f t="shared" si="4"/>
        <v>523.83600315096737</v>
      </c>
      <c r="M28" s="133">
        <f>H28*Inputs!$B$126</f>
        <v>2990.9536681306422</v>
      </c>
      <c r="N28" s="48">
        <f>I28*Inputs!$B$127</f>
        <v>7901.8938973695649</v>
      </c>
      <c r="O28" s="48">
        <f>J28*Inputs!$B$128</f>
        <v>2295.0395739538053</v>
      </c>
      <c r="P28" s="48">
        <f>K28*Inputs!$B$128</f>
        <v>21385.596030024095</v>
      </c>
      <c r="Q28" s="48">
        <f>SCC!C36*L28</f>
        <v>36185.464798434739</v>
      </c>
      <c r="R28" s="48">
        <f t="shared" si="5"/>
        <v>34573.48316947811</v>
      </c>
      <c r="S28" s="48">
        <f>ROUND(R28/((1+Inputs!$B$3)^(A28-2016)),0)</f>
        <v>5953</v>
      </c>
      <c r="T28" s="55">
        <f t="shared" si="6"/>
        <v>36185.464798434739</v>
      </c>
      <c r="U28" s="57">
        <f t="shared" si="7"/>
        <v>42138.464798434739</v>
      </c>
    </row>
    <row r="29" spans="1:21" x14ac:dyDescent="0.25">
      <c r="A29" s="41">
        <v>2043</v>
      </c>
      <c r="B29" s="166">
        <f>'Reduced VMT'!Q33</f>
        <v>1437847.8774918788</v>
      </c>
      <c r="C29" s="168">
        <f>Inputs!$B$130</f>
        <v>1.034</v>
      </c>
      <c r="D29" s="106">
        <f>Inputs!$B$131</f>
        <v>0.69299999999999995</v>
      </c>
      <c r="E29" s="106">
        <f>Inputs!$B$132</f>
        <v>4.4000000000000003E-3</v>
      </c>
      <c r="F29" s="106">
        <f>Inputs!$B$133</f>
        <v>4.1000000000000002E-2</v>
      </c>
      <c r="G29" s="169">
        <f>Inputs!$B$134</f>
        <v>368.4</v>
      </c>
      <c r="H29" s="167">
        <f t="shared" si="0"/>
        <v>1.4867347053266029</v>
      </c>
      <c r="I29" s="38">
        <f t="shared" si="1"/>
        <v>0.99642857910187188</v>
      </c>
      <c r="J29" s="38">
        <f t="shared" si="2"/>
        <v>6.3265306609642672E-3</v>
      </c>
      <c r="K29" s="38">
        <f t="shared" si="3"/>
        <v>5.8951762977167033E-2</v>
      </c>
      <c r="L29" s="166">
        <f t="shared" si="4"/>
        <v>529.70315806800818</v>
      </c>
      <c r="M29" s="133">
        <f>H29*Inputs!$B$126</f>
        <v>3024.4534436616427</v>
      </c>
      <c r="N29" s="48">
        <f>I29*Inputs!$B$127</f>
        <v>7990.3980004762843</v>
      </c>
      <c r="O29" s="48">
        <f>J29*Inputs!$B$128</f>
        <v>2320.7448569815651</v>
      </c>
      <c r="P29" s="48">
        <f>K29*Inputs!$B$128</f>
        <v>21625.122530964582</v>
      </c>
      <c r="Q29" s="48">
        <f>SCC!C37*L29</f>
        <v>37121.056045794568</v>
      </c>
      <c r="R29" s="48">
        <f t="shared" si="5"/>
        <v>34960.718832084072</v>
      </c>
      <c r="S29" s="48">
        <f>ROUND(R29/((1+Inputs!$B$3)^(A29-2016)),0)</f>
        <v>5626</v>
      </c>
      <c r="T29" s="55">
        <f t="shared" si="6"/>
        <v>37121.056045794568</v>
      </c>
      <c r="U29" s="57">
        <f t="shared" si="7"/>
        <v>42747.056045794568</v>
      </c>
    </row>
    <row r="30" spans="1:21" x14ac:dyDescent="0.25">
      <c r="A30" s="41">
        <v>2044</v>
      </c>
      <c r="B30" s="166">
        <f>'Reduced VMT'!Q34</f>
        <v>1453952.2998562029</v>
      </c>
      <c r="C30" s="168">
        <f>Inputs!$B$130</f>
        <v>1.034</v>
      </c>
      <c r="D30" s="106">
        <f>Inputs!$B$131</f>
        <v>0.69299999999999995</v>
      </c>
      <c r="E30" s="106">
        <f>Inputs!$B$132</f>
        <v>4.4000000000000003E-3</v>
      </c>
      <c r="F30" s="106">
        <f>Inputs!$B$133</f>
        <v>4.1000000000000002E-2</v>
      </c>
      <c r="G30" s="169">
        <f>Inputs!$B$134</f>
        <v>368.4</v>
      </c>
      <c r="H30" s="167">
        <f t="shared" si="0"/>
        <v>1.5033866780513139</v>
      </c>
      <c r="I30" s="38">
        <f t="shared" si="1"/>
        <v>1.0075889438003485</v>
      </c>
      <c r="J30" s="38">
        <f t="shared" si="2"/>
        <v>6.3973901193672932E-3</v>
      </c>
      <c r="K30" s="38">
        <f t="shared" si="3"/>
        <v>5.961204429410432E-2</v>
      </c>
      <c r="L30" s="166">
        <f t="shared" si="4"/>
        <v>535.63602726702516</v>
      </c>
      <c r="M30" s="133">
        <f>H30*Inputs!$B$126</f>
        <v>3058.3284289368053</v>
      </c>
      <c r="N30" s="48">
        <f>I30*Inputs!$B$127</f>
        <v>8079.8933819231634</v>
      </c>
      <c r="O30" s="48">
        <f>J30*Inputs!$B$128</f>
        <v>2346.7380485852959</v>
      </c>
      <c r="P30" s="48">
        <f>K30*Inputs!$B$128</f>
        <v>21867.331816362985</v>
      </c>
      <c r="Q30" s="48">
        <f>SCC!C38*L30</f>
        <v>38073.065820490454</v>
      </c>
      <c r="R30" s="48">
        <f t="shared" si="5"/>
        <v>35352.29167580825</v>
      </c>
      <c r="S30" s="48">
        <f>ROUND(R30/((1+Inputs!$B$3)^(A30-2016)),0)</f>
        <v>5317</v>
      </c>
      <c r="T30" s="55">
        <f t="shared" si="6"/>
        <v>38073.065820490454</v>
      </c>
      <c r="U30" s="57">
        <f t="shared" si="7"/>
        <v>43390.065820490454</v>
      </c>
    </row>
    <row r="31" spans="1:21" x14ac:dyDescent="0.25">
      <c r="A31" s="41">
        <v>2045</v>
      </c>
      <c r="B31" s="166">
        <f>'Reduced VMT'!Q35</f>
        <v>1470237.0976439284</v>
      </c>
      <c r="C31" s="168">
        <f>Inputs!$B$130</f>
        <v>1.034</v>
      </c>
      <c r="D31" s="106">
        <f>Inputs!$B$131</f>
        <v>0.69299999999999995</v>
      </c>
      <c r="E31" s="106">
        <f>Inputs!$B$132</f>
        <v>4.4000000000000003E-3</v>
      </c>
      <c r="F31" s="106">
        <f>Inputs!$B$133</f>
        <v>4.1000000000000002E-2</v>
      </c>
      <c r="G31" s="169">
        <f>Inputs!$B$134</f>
        <v>368.4</v>
      </c>
      <c r="H31" s="167">
        <f t="shared" si="0"/>
        <v>1.520225158963822</v>
      </c>
      <c r="I31" s="38">
        <f t="shared" si="1"/>
        <v>1.0188743086672423</v>
      </c>
      <c r="J31" s="38">
        <f t="shared" si="2"/>
        <v>6.4690432296332853E-3</v>
      </c>
      <c r="K31" s="38">
        <f t="shared" si="3"/>
        <v>6.0279721003401066E-2</v>
      </c>
      <c r="L31" s="166">
        <f t="shared" si="4"/>
        <v>541.63534677202324</v>
      </c>
      <c r="M31" s="133">
        <f>H31*Inputs!$B$126</f>
        <v>3092.582826442565</v>
      </c>
      <c r="N31" s="48">
        <f>I31*Inputs!$B$127</f>
        <v>8170.3911443903453</v>
      </c>
      <c r="O31" s="48">
        <f>J31*Inputs!$B$128</f>
        <v>2373.0223734464021</v>
      </c>
      <c r="P31" s="48">
        <f>K31*Inputs!$B$128</f>
        <v>22112.253934386928</v>
      </c>
      <c r="Q31" s="48">
        <f>SCC!C39*L31</f>
        <v>39041.744541315609</v>
      </c>
      <c r="R31" s="48">
        <f t="shared" si="5"/>
        <v>35748.250278666237</v>
      </c>
      <c r="S31" s="48">
        <f>ROUND(R31/((1+Inputs!$B$3)^(A31-2016)),0)</f>
        <v>5025</v>
      </c>
      <c r="T31" s="55">
        <f t="shared" si="6"/>
        <v>39041.744541315609</v>
      </c>
      <c r="U31" s="57">
        <f t="shared" si="7"/>
        <v>44066.744541315609</v>
      </c>
    </row>
    <row r="32" spans="1:21" x14ac:dyDescent="0.25">
      <c r="A32" s="41">
        <v>2046</v>
      </c>
      <c r="B32" s="166">
        <f>'Reduced VMT'!Q36</f>
        <v>1486704.2911257991</v>
      </c>
      <c r="C32" s="168">
        <f>Inputs!$B$130</f>
        <v>1.034</v>
      </c>
      <c r="D32" s="106">
        <f>Inputs!$B$131</f>
        <v>0.69299999999999995</v>
      </c>
      <c r="E32" s="106">
        <f>Inputs!$B$132</f>
        <v>4.4000000000000003E-3</v>
      </c>
      <c r="F32" s="106">
        <f>Inputs!$B$133</f>
        <v>4.1000000000000002E-2</v>
      </c>
      <c r="G32" s="169">
        <f>Inputs!$B$134</f>
        <v>368.4</v>
      </c>
      <c r="H32" s="167">
        <f t="shared" si="0"/>
        <v>1.5372522370240762</v>
      </c>
      <c r="I32" s="38">
        <f t="shared" si="1"/>
        <v>1.0302860737501787</v>
      </c>
      <c r="J32" s="38">
        <f t="shared" si="2"/>
        <v>6.5414988809535165E-3</v>
      </c>
      <c r="K32" s="38">
        <f t="shared" si="3"/>
        <v>6.0954875936157761E-2</v>
      </c>
      <c r="L32" s="166">
        <f t="shared" si="4"/>
        <v>547.70186085074431</v>
      </c>
      <c r="M32" s="133">
        <f>H32*Inputs!$B$126</f>
        <v>3127.2208857347359</v>
      </c>
      <c r="N32" s="48">
        <f>I32*Inputs!$B$127</f>
        <v>8261.9025149120425</v>
      </c>
      <c r="O32" s="48">
        <f>J32*Inputs!$B$128</f>
        <v>2399.601092363896</v>
      </c>
      <c r="P32" s="48">
        <f>K32*Inputs!$B$128</f>
        <v>22359.919269754482</v>
      </c>
      <c r="Q32" s="48">
        <f>SCC!C40*L32</f>
        <v>40027.346176952786</v>
      </c>
      <c r="R32" s="48">
        <f t="shared" si="5"/>
        <v>36148.643762765161</v>
      </c>
      <c r="S32" s="48">
        <f>ROUND(R32/((1+Inputs!$B$3)^(A32-2016)),0)</f>
        <v>4749</v>
      </c>
      <c r="T32" s="55">
        <f t="shared" si="6"/>
        <v>40027.346176952786</v>
      </c>
      <c r="U32" s="57">
        <f t="shared" si="7"/>
        <v>44776.346176952786</v>
      </c>
    </row>
    <row r="33" spans="1:21" x14ac:dyDescent="0.25">
      <c r="A33" s="41">
        <v>2047</v>
      </c>
      <c r="B33" s="166">
        <f>'Reduced VMT'!Q37</f>
        <v>1503355.9232003326</v>
      </c>
      <c r="C33" s="168">
        <f>Inputs!$B$130</f>
        <v>1.034</v>
      </c>
      <c r="D33" s="106">
        <f>Inputs!$B$131</f>
        <v>0.69299999999999995</v>
      </c>
      <c r="E33" s="106">
        <f>Inputs!$B$132</f>
        <v>4.4000000000000003E-3</v>
      </c>
      <c r="F33" s="106">
        <f>Inputs!$B$133</f>
        <v>4.1000000000000002E-2</v>
      </c>
      <c r="G33" s="169">
        <f>Inputs!$B$134</f>
        <v>368.4</v>
      </c>
      <c r="H33" s="167">
        <f t="shared" si="0"/>
        <v>1.5544700245891439</v>
      </c>
      <c r="I33" s="38">
        <f t="shared" si="1"/>
        <v>1.0418256547778304</v>
      </c>
      <c r="J33" s="38">
        <f t="shared" si="2"/>
        <v>6.6147660620814643E-3</v>
      </c>
      <c r="K33" s="38">
        <f t="shared" si="3"/>
        <v>6.1637592851213639E-2</v>
      </c>
      <c r="L33" s="166">
        <f t="shared" si="4"/>
        <v>553.8363221070025</v>
      </c>
      <c r="M33" s="133">
        <f>H33*Inputs!$B$126</f>
        <v>3162.246903965718</v>
      </c>
      <c r="N33" s="48">
        <f>I33*Inputs!$B$127</f>
        <v>8354.4388462693714</v>
      </c>
      <c r="O33" s="48">
        <f>J33*Inputs!$B$128</f>
        <v>2426.4775026589355</v>
      </c>
      <c r="P33" s="48">
        <f>K33*Inputs!$B$128</f>
        <v>22610.358547503714</v>
      </c>
      <c r="Q33" s="48">
        <f>SCC!C41*L33</f>
        <v>41030.128294079928</v>
      </c>
      <c r="R33" s="48">
        <f t="shared" si="5"/>
        <v>36553.521800397742</v>
      </c>
      <c r="S33" s="48">
        <f>ROUND(R33/((1+Inputs!$B$3)^(A33-2016)),0)</f>
        <v>4488</v>
      </c>
      <c r="T33" s="55">
        <f t="shared" si="6"/>
        <v>41030.128294079928</v>
      </c>
      <c r="U33" s="57">
        <f t="shared" si="7"/>
        <v>45518.128294079928</v>
      </c>
    </row>
    <row r="34" spans="1:21" s="4" customFormat="1" x14ac:dyDescent="0.25">
      <c r="A34" s="41">
        <v>2048</v>
      </c>
      <c r="B34" s="166">
        <f>'Reduced VMT'!Q38</f>
        <v>1520194.0596472556</v>
      </c>
      <c r="C34" s="168">
        <f>Inputs!$B$130</f>
        <v>1.034</v>
      </c>
      <c r="D34" s="106">
        <f>Inputs!$B$131</f>
        <v>0.69299999999999995</v>
      </c>
      <c r="E34" s="106">
        <f>Inputs!$B$132</f>
        <v>4.4000000000000003E-3</v>
      </c>
      <c r="F34" s="106">
        <f>Inputs!$B$133</f>
        <v>4.1000000000000002E-2</v>
      </c>
      <c r="G34" s="169">
        <f>Inputs!$B$134</f>
        <v>368.4</v>
      </c>
      <c r="H34" s="167">
        <f t="shared" ref="H34:H35" si="8">((B34*C34)/1000000)</f>
        <v>1.5718806576752624</v>
      </c>
      <c r="I34" s="38">
        <f t="shared" ref="I34:I35" si="9">((B34*D34)/1000000)</f>
        <v>1.0534944833355482</v>
      </c>
      <c r="J34" s="38">
        <f t="shared" ref="J34:J35" si="10">((B34*E34)/1000000)</f>
        <v>6.6888538624479254E-3</v>
      </c>
      <c r="K34" s="38">
        <f t="shared" ref="K34:K35" si="11">((B34*F34)/1000000)</f>
        <v>6.2327956445537479E-2</v>
      </c>
      <c r="L34" s="166">
        <f t="shared" ref="L34:L35" si="12">((B34*G34)/1000000)</f>
        <v>560.03949157404884</v>
      </c>
      <c r="M34" s="133">
        <f>H34*Inputs!$B$126</f>
        <v>3197.6652264175859</v>
      </c>
      <c r="N34" s="48">
        <f>I34*Inputs!$B$127</f>
        <v>8448.0116183987393</v>
      </c>
      <c r="O34" s="48">
        <f>J34*Inputs!$B$128</f>
        <v>2453.654938583878</v>
      </c>
      <c r="P34" s="48">
        <f>K34*Inputs!$B$128</f>
        <v>22863.602836804315</v>
      </c>
      <c r="Q34" s="48">
        <f>SCC!C42*L34</f>
        <v>42611.023467522587</v>
      </c>
      <c r="R34" s="48">
        <f t="shared" ref="R34:R35" si="13">SUM(M34:P34)</f>
        <v>36962.93462020452</v>
      </c>
      <c r="S34" s="48">
        <f>ROUND(R34/((1+Inputs!$B$3)^(A34-2016)),0)</f>
        <v>4241</v>
      </c>
      <c r="T34" s="55">
        <f t="shared" ref="T34:T35" si="14">Q34</f>
        <v>42611.023467522587</v>
      </c>
      <c r="U34" s="57">
        <f t="shared" ref="U34:U35" si="15">SUM(S34:T34)</f>
        <v>46852.023467522587</v>
      </c>
    </row>
    <row r="35" spans="1:21" s="4" customFormat="1" ht="15.75" thickBot="1" x14ac:dyDescent="0.3">
      <c r="A35" s="41">
        <v>2049</v>
      </c>
      <c r="B35" s="166">
        <f>'Reduced VMT'!Q39</f>
        <v>1537220.7893837853</v>
      </c>
      <c r="C35" s="168">
        <f>Inputs!$B$130</f>
        <v>1.034</v>
      </c>
      <c r="D35" s="106">
        <f>Inputs!$B$131</f>
        <v>0.69299999999999995</v>
      </c>
      <c r="E35" s="106">
        <f>Inputs!$B$132</f>
        <v>4.4000000000000003E-3</v>
      </c>
      <c r="F35" s="106">
        <f>Inputs!$B$133</f>
        <v>4.1000000000000002E-2</v>
      </c>
      <c r="G35" s="169">
        <f>Inputs!$B$134</f>
        <v>368.4</v>
      </c>
      <c r="H35" s="167">
        <f t="shared" si="8"/>
        <v>1.5894862962228342</v>
      </c>
      <c r="I35" s="38">
        <f t="shared" si="9"/>
        <v>1.0652940070429631</v>
      </c>
      <c r="J35" s="38">
        <f t="shared" si="10"/>
        <v>6.7637714732886565E-3</v>
      </c>
      <c r="K35" s="38">
        <f t="shared" si="11"/>
        <v>6.3026052364735199E-2</v>
      </c>
      <c r="L35" s="166">
        <f t="shared" si="12"/>
        <v>566.31213880898645</v>
      </c>
      <c r="M35" s="133">
        <f>H35*Inputs!$B$126</f>
        <v>3233.4802470411669</v>
      </c>
      <c r="N35" s="48">
        <f>I35*Inputs!$B$127</f>
        <v>8542.6324398160468</v>
      </c>
      <c r="O35" s="48">
        <f>J35*Inputs!$B$128</f>
        <v>2481.1367717359317</v>
      </c>
      <c r="P35" s="48">
        <f>K35*Inputs!$B$128</f>
        <v>23119.683554812091</v>
      </c>
      <c r="Q35" s="48">
        <f>SCC!C43*L35</f>
        <v>43655.233608381626</v>
      </c>
      <c r="R35" s="48">
        <f t="shared" si="13"/>
        <v>37376.933013405236</v>
      </c>
      <c r="S35" s="48">
        <f>ROUND(R35/((1+Inputs!$B$3)^(A35-2016)),0)</f>
        <v>4008</v>
      </c>
      <c r="T35" s="55">
        <f t="shared" si="14"/>
        <v>43655.233608381626</v>
      </c>
      <c r="U35" s="57">
        <f t="shared" si="15"/>
        <v>47663.233608381626</v>
      </c>
    </row>
    <row r="36" spans="1:21" ht="15.75" thickBot="1" x14ac:dyDescent="0.3">
      <c r="A36" s="52" t="s">
        <v>165</v>
      </c>
      <c r="B36" s="170">
        <f>SUM(B4:B35)</f>
        <v>39421588.884860449</v>
      </c>
      <c r="C36" s="171"/>
      <c r="D36" s="116"/>
      <c r="E36" s="116"/>
      <c r="F36" s="116"/>
      <c r="G36" s="117"/>
      <c r="H36" s="172">
        <f>SUM(H4:H33)</f>
        <v>37.600555953047618</v>
      </c>
      <c r="I36" s="116">
        <f>SUM(I4:I33)</f>
        <v>25.200372606829781</v>
      </c>
      <c r="J36" s="116">
        <f>SUM(J4:J33)</f>
        <v>0.16000236575764945</v>
      </c>
      <c r="K36" s="116">
        <f>SUM(K4:K33)</f>
        <v>1.4909311354690062</v>
      </c>
      <c r="L36" s="170">
        <f>SUM(L4:L33)</f>
        <v>13396.561714799556</v>
      </c>
      <c r="M36" s="149">
        <f t="shared" ref="M36:U36" si="16">SUM(M4:M35)</f>
        <v>82921.679075958527</v>
      </c>
      <c r="N36" s="122">
        <f t="shared" si="16"/>
        <v>219073.37342991363</v>
      </c>
      <c r="O36" s="122">
        <f t="shared" si="16"/>
        <v>63628.045143529649</v>
      </c>
      <c r="P36" s="122">
        <f t="shared" si="16"/>
        <v>592897.69338288973</v>
      </c>
      <c r="Q36" s="122">
        <f t="shared" si="16"/>
        <v>907195.37254723173</v>
      </c>
      <c r="R36" s="122">
        <f t="shared" si="16"/>
        <v>958520.79103229172</v>
      </c>
      <c r="S36" s="122">
        <f t="shared" si="16"/>
        <v>306736</v>
      </c>
      <c r="T36" s="120">
        <f t="shared" si="16"/>
        <v>907195.37254723173</v>
      </c>
      <c r="U36" s="121">
        <f t="shared" si="16"/>
        <v>1213931.3725472318</v>
      </c>
    </row>
    <row r="40" spans="1:21" ht="15.75" thickBot="1" x14ac:dyDescent="0.3">
      <c r="A40" s="4"/>
    </row>
    <row r="41" spans="1:21" ht="15.75" thickBot="1" x14ac:dyDescent="0.3">
      <c r="A41" s="702" t="s">
        <v>132</v>
      </c>
      <c r="B41" s="704" t="s">
        <v>200</v>
      </c>
      <c r="C41" s="706" t="s">
        <v>251</v>
      </c>
      <c r="D41" s="707"/>
      <c r="E41" s="707"/>
      <c r="F41" s="707"/>
      <c r="G41" s="708"/>
      <c r="H41" s="709" t="s">
        <v>250</v>
      </c>
      <c r="I41" s="707"/>
      <c r="J41" s="707"/>
      <c r="K41" s="707"/>
      <c r="L41" s="710"/>
      <c r="M41" s="711" t="s">
        <v>212</v>
      </c>
      <c r="N41" s="712"/>
      <c r="O41" s="712"/>
      <c r="P41" s="712"/>
      <c r="Q41" s="712"/>
      <c r="R41" s="712"/>
      <c r="S41" s="712"/>
      <c r="T41" s="712"/>
      <c r="U41" s="713"/>
    </row>
    <row r="42" spans="1:21" ht="60" x14ac:dyDescent="0.25">
      <c r="A42" s="703"/>
      <c r="B42" s="705"/>
      <c r="C42" s="164" t="s">
        <v>203</v>
      </c>
      <c r="D42" s="96" t="s">
        <v>410</v>
      </c>
      <c r="E42" s="96" t="s">
        <v>411</v>
      </c>
      <c r="F42" s="96" t="s">
        <v>412</v>
      </c>
      <c r="G42" s="40" t="s">
        <v>413</v>
      </c>
      <c r="H42" s="163" t="s">
        <v>203</v>
      </c>
      <c r="I42" s="96" t="s">
        <v>204</v>
      </c>
      <c r="J42" s="96" t="s">
        <v>205</v>
      </c>
      <c r="K42" s="96" t="s">
        <v>206</v>
      </c>
      <c r="L42" s="605" t="s">
        <v>207</v>
      </c>
      <c r="M42" s="132" t="s">
        <v>239</v>
      </c>
      <c r="N42" s="94" t="s">
        <v>410</v>
      </c>
      <c r="O42" s="96" t="s">
        <v>411</v>
      </c>
      <c r="P42" s="96" t="s">
        <v>412</v>
      </c>
      <c r="Q42" s="40" t="s">
        <v>414</v>
      </c>
      <c r="R42" s="94" t="s">
        <v>415</v>
      </c>
      <c r="S42" s="94" t="s">
        <v>214</v>
      </c>
      <c r="T42" s="143" t="s">
        <v>416</v>
      </c>
      <c r="U42" s="140" t="s">
        <v>417</v>
      </c>
    </row>
    <row r="43" spans="1:21" x14ac:dyDescent="0.25">
      <c r="A43" s="41">
        <v>2018</v>
      </c>
      <c r="B43" s="166">
        <f>ROUND(B4,-3)</f>
        <v>0</v>
      </c>
      <c r="C43" s="168">
        <f>C4</f>
        <v>1.034</v>
      </c>
      <c r="D43" s="106">
        <f t="shared" ref="D43:G43" si="17">D4</f>
        <v>0.69299999999999995</v>
      </c>
      <c r="E43" s="106">
        <f t="shared" si="17"/>
        <v>4.4000000000000003E-3</v>
      </c>
      <c r="F43" s="106">
        <f t="shared" si="17"/>
        <v>4.1000000000000002E-2</v>
      </c>
      <c r="G43" s="169">
        <f t="shared" si="17"/>
        <v>368.4</v>
      </c>
      <c r="H43" s="167"/>
      <c r="I43" s="38"/>
      <c r="J43" s="38"/>
      <c r="K43" s="38"/>
      <c r="L43" s="166"/>
      <c r="M43" s="133">
        <f>ROUND(M4,-3)</f>
        <v>0</v>
      </c>
      <c r="N43" s="48">
        <f t="shared" ref="N43:U43" si="18">ROUND(N4,-3)</f>
        <v>0</v>
      </c>
      <c r="O43" s="48">
        <f t="shared" si="18"/>
        <v>0</v>
      </c>
      <c r="P43" s="48">
        <f t="shared" si="18"/>
        <v>0</v>
      </c>
      <c r="Q43" s="48">
        <f t="shared" si="18"/>
        <v>0</v>
      </c>
      <c r="R43" s="48">
        <f t="shared" si="18"/>
        <v>0</v>
      </c>
      <c r="S43" s="48">
        <f t="shared" si="18"/>
        <v>0</v>
      </c>
      <c r="T43" s="55">
        <f t="shared" si="18"/>
        <v>0</v>
      </c>
      <c r="U43" s="57">
        <f t="shared" si="18"/>
        <v>0</v>
      </c>
    </row>
    <row r="44" spans="1:21" x14ac:dyDescent="0.25">
      <c r="A44" s="41">
        <v>2019</v>
      </c>
      <c r="B44" s="166">
        <f t="shared" ref="B44:B75" si="19">ROUND(B5,-3)</f>
        <v>0</v>
      </c>
      <c r="C44" s="168">
        <f t="shared" ref="C44:G44" si="20">C5</f>
        <v>1.034</v>
      </c>
      <c r="D44" s="106">
        <f t="shared" si="20"/>
        <v>0.69299999999999995</v>
      </c>
      <c r="E44" s="106">
        <f t="shared" si="20"/>
        <v>4.4000000000000003E-3</v>
      </c>
      <c r="F44" s="106">
        <f t="shared" si="20"/>
        <v>4.1000000000000002E-2</v>
      </c>
      <c r="G44" s="169">
        <f t="shared" si="20"/>
        <v>368.4</v>
      </c>
      <c r="H44" s="167"/>
      <c r="I44" s="38"/>
      <c r="J44" s="38"/>
      <c r="K44" s="38"/>
      <c r="L44" s="166"/>
      <c r="M44" s="133">
        <f t="shared" ref="M44:U44" si="21">ROUND(M5,-3)</f>
        <v>0</v>
      </c>
      <c r="N44" s="48">
        <f t="shared" si="21"/>
        <v>0</v>
      </c>
      <c r="O44" s="48">
        <f t="shared" si="21"/>
        <v>0</v>
      </c>
      <c r="P44" s="48">
        <f t="shared" si="21"/>
        <v>0</v>
      </c>
      <c r="Q44" s="48">
        <f t="shared" si="21"/>
        <v>0</v>
      </c>
      <c r="R44" s="48">
        <f t="shared" si="21"/>
        <v>0</v>
      </c>
      <c r="S44" s="48">
        <f t="shared" si="21"/>
        <v>0</v>
      </c>
      <c r="T44" s="55">
        <f t="shared" si="21"/>
        <v>0</v>
      </c>
      <c r="U44" s="57">
        <f t="shared" si="21"/>
        <v>0</v>
      </c>
    </row>
    <row r="45" spans="1:21" x14ac:dyDescent="0.25">
      <c r="A45" s="41">
        <v>2020</v>
      </c>
      <c r="B45" s="166">
        <f t="shared" si="19"/>
        <v>1113000</v>
      </c>
      <c r="C45" s="168">
        <f t="shared" ref="C45:G45" si="22">C6</f>
        <v>1.034</v>
      </c>
      <c r="D45" s="106">
        <f t="shared" si="22"/>
        <v>0.69299999999999995</v>
      </c>
      <c r="E45" s="106">
        <f t="shared" si="22"/>
        <v>4.4000000000000003E-3</v>
      </c>
      <c r="F45" s="106">
        <f t="shared" si="22"/>
        <v>4.1000000000000002E-2</v>
      </c>
      <c r="G45" s="169">
        <f t="shared" si="22"/>
        <v>368.4</v>
      </c>
      <c r="H45" s="167"/>
      <c r="I45" s="38"/>
      <c r="J45" s="38"/>
      <c r="K45" s="38"/>
      <c r="L45" s="166"/>
      <c r="M45" s="133">
        <f t="shared" ref="M45:U45" si="23">ROUND(M6,-3)</f>
        <v>2000</v>
      </c>
      <c r="N45" s="48">
        <f t="shared" si="23"/>
        <v>6000</v>
      </c>
      <c r="O45" s="48">
        <f t="shared" si="23"/>
        <v>2000</v>
      </c>
      <c r="P45" s="48">
        <f t="shared" si="23"/>
        <v>17000</v>
      </c>
      <c r="Q45" s="48">
        <f t="shared" si="23"/>
        <v>19000</v>
      </c>
      <c r="R45" s="48">
        <f t="shared" si="23"/>
        <v>27000</v>
      </c>
      <c r="S45" s="48">
        <f t="shared" si="23"/>
        <v>21000</v>
      </c>
      <c r="T45" s="55">
        <f t="shared" si="23"/>
        <v>19000</v>
      </c>
      <c r="U45" s="57">
        <f t="shared" si="23"/>
        <v>40000</v>
      </c>
    </row>
    <row r="46" spans="1:21" x14ac:dyDescent="0.25">
      <c r="A46" s="41">
        <v>2021</v>
      </c>
      <c r="B46" s="166">
        <f t="shared" si="19"/>
        <v>1125000</v>
      </c>
      <c r="C46" s="168">
        <f t="shared" ref="C46:G46" si="24">C7</f>
        <v>1.034</v>
      </c>
      <c r="D46" s="106">
        <f t="shared" si="24"/>
        <v>0.69299999999999995</v>
      </c>
      <c r="E46" s="106">
        <f t="shared" si="24"/>
        <v>4.4000000000000003E-3</v>
      </c>
      <c r="F46" s="106">
        <f t="shared" si="24"/>
        <v>4.1000000000000002E-2</v>
      </c>
      <c r="G46" s="169">
        <f t="shared" si="24"/>
        <v>368.4</v>
      </c>
      <c r="H46" s="167"/>
      <c r="I46" s="38"/>
      <c r="J46" s="38"/>
      <c r="K46" s="38"/>
      <c r="L46" s="166"/>
      <c r="M46" s="133">
        <f t="shared" ref="M46:U46" si="25">ROUND(M7,-3)</f>
        <v>2000</v>
      </c>
      <c r="N46" s="48">
        <f t="shared" si="25"/>
        <v>6000</v>
      </c>
      <c r="O46" s="48">
        <f t="shared" si="25"/>
        <v>2000</v>
      </c>
      <c r="P46" s="48">
        <f t="shared" si="25"/>
        <v>17000</v>
      </c>
      <c r="Q46" s="48">
        <f t="shared" si="25"/>
        <v>20000</v>
      </c>
      <c r="R46" s="48">
        <f t="shared" si="25"/>
        <v>27000</v>
      </c>
      <c r="S46" s="48">
        <f t="shared" si="25"/>
        <v>20000</v>
      </c>
      <c r="T46" s="55">
        <f t="shared" si="25"/>
        <v>20000</v>
      </c>
      <c r="U46" s="57">
        <f t="shared" si="25"/>
        <v>39000</v>
      </c>
    </row>
    <row r="47" spans="1:21" x14ac:dyDescent="0.25">
      <c r="A47" s="41">
        <v>2022</v>
      </c>
      <c r="B47" s="166">
        <f t="shared" si="19"/>
        <v>1138000</v>
      </c>
      <c r="C47" s="168">
        <f t="shared" ref="C47:G47" si="26">C8</f>
        <v>1.034</v>
      </c>
      <c r="D47" s="106">
        <f t="shared" si="26"/>
        <v>0.69299999999999995</v>
      </c>
      <c r="E47" s="106">
        <f t="shared" si="26"/>
        <v>4.4000000000000003E-3</v>
      </c>
      <c r="F47" s="106">
        <f t="shared" si="26"/>
        <v>4.1000000000000002E-2</v>
      </c>
      <c r="G47" s="169">
        <f t="shared" si="26"/>
        <v>368.4</v>
      </c>
      <c r="H47" s="167"/>
      <c r="I47" s="38"/>
      <c r="J47" s="38"/>
      <c r="K47" s="38"/>
      <c r="L47" s="166"/>
      <c r="M47" s="133">
        <f t="shared" ref="M47:U47" si="27">ROUND(M8,-3)</f>
        <v>2000</v>
      </c>
      <c r="N47" s="48">
        <f t="shared" si="27"/>
        <v>6000</v>
      </c>
      <c r="O47" s="48">
        <f t="shared" si="27"/>
        <v>2000</v>
      </c>
      <c r="P47" s="48">
        <f t="shared" si="27"/>
        <v>17000</v>
      </c>
      <c r="Q47" s="48">
        <f t="shared" si="27"/>
        <v>20000</v>
      </c>
      <c r="R47" s="48">
        <f t="shared" si="27"/>
        <v>28000</v>
      </c>
      <c r="S47" s="48">
        <f t="shared" si="27"/>
        <v>18000</v>
      </c>
      <c r="T47" s="55">
        <f t="shared" si="27"/>
        <v>20000</v>
      </c>
      <c r="U47" s="57">
        <f t="shared" si="27"/>
        <v>39000</v>
      </c>
    </row>
    <row r="48" spans="1:21" x14ac:dyDescent="0.25">
      <c r="A48" s="41">
        <v>2023</v>
      </c>
      <c r="B48" s="166">
        <f t="shared" si="19"/>
        <v>1151000</v>
      </c>
      <c r="C48" s="168">
        <f t="shared" ref="C48:G48" si="28">C9</f>
        <v>1.034</v>
      </c>
      <c r="D48" s="106">
        <f t="shared" si="28"/>
        <v>0.69299999999999995</v>
      </c>
      <c r="E48" s="106">
        <f t="shared" si="28"/>
        <v>4.4000000000000003E-3</v>
      </c>
      <c r="F48" s="106">
        <f t="shared" si="28"/>
        <v>4.1000000000000002E-2</v>
      </c>
      <c r="G48" s="169">
        <f t="shared" si="28"/>
        <v>368.4</v>
      </c>
      <c r="H48" s="167"/>
      <c r="I48" s="38"/>
      <c r="J48" s="38"/>
      <c r="K48" s="38"/>
      <c r="L48" s="166"/>
      <c r="M48" s="133">
        <f t="shared" ref="M48:U48" si="29">ROUND(M9,-3)</f>
        <v>2000</v>
      </c>
      <c r="N48" s="48">
        <f t="shared" si="29"/>
        <v>6000</v>
      </c>
      <c r="O48" s="48">
        <f t="shared" si="29"/>
        <v>2000</v>
      </c>
      <c r="P48" s="48">
        <f t="shared" si="29"/>
        <v>17000</v>
      </c>
      <c r="Q48" s="48">
        <f t="shared" si="29"/>
        <v>21000</v>
      </c>
      <c r="R48" s="48">
        <f t="shared" si="29"/>
        <v>28000</v>
      </c>
      <c r="S48" s="48">
        <f t="shared" si="29"/>
        <v>17000</v>
      </c>
      <c r="T48" s="55">
        <f t="shared" si="29"/>
        <v>21000</v>
      </c>
      <c r="U48" s="57">
        <f t="shared" si="29"/>
        <v>39000</v>
      </c>
    </row>
    <row r="49" spans="1:21" x14ac:dyDescent="0.25">
      <c r="A49" s="41">
        <v>2024</v>
      </c>
      <c r="B49" s="166">
        <f t="shared" si="19"/>
        <v>1164000</v>
      </c>
      <c r="C49" s="168">
        <f t="shared" ref="C49:G49" si="30">C10</f>
        <v>1.034</v>
      </c>
      <c r="D49" s="106">
        <f t="shared" si="30"/>
        <v>0.69299999999999995</v>
      </c>
      <c r="E49" s="106">
        <f t="shared" si="30"/>
        <v>4.4000000000000003E-3</v>
      </c>
      <c r="F49" s="106">
        <f t="shared" si="30"/>
        <v>4.1000000000000002E-2</v>
      </c>
      <c r="G49" s="169">
        <f t="shared" si="30"/>
        <v>368.4</v>
      </c>
      <c r="H49" s="167"/>
      <c r="I49" s="38"/>
      <c r="J49" s="38"/>
      <c r="K49" s="38"/>
      <c r="L49" s="166"/>
      <c r="M49" s="133">
        <f t="shared" ref="M49:U49" si="31">ROUND(M10,-3)</f>
        <v>2000</v>
      </c>
      <c r="N49" s="48">
        <f t="shared" si="31"/>
        <v>6000</v>
      </c>
      <c r="O49" s="48">
        <f t="shared" si="31"/>
        <v>2000</v>
      </c>
      <c r="P49" s="48">
        <f t="shared" si="31"/>
        <v>18000</v>
      </c>
      <c r="Q49" s="48">
        <f t="shared" si="31"/>
        <v>22000</v>
      </c>
      <c r="R49" s="48">
        <f t="shared" si="31"/>
        <v>28000</v>
      </c>
      <c r="S49" s="48">
        <f t="shared" si="31"/>
        <v>16000</v>
      </c>
      <c r="T49" s="55">
        <f t="shared" si="31"/>
        <v>22000</v>
      </c>
      <c r="U49" s="57">
        <f t="shared" si="31"/>
        <v>38000</v>
      </c>
    </row>
    <row r="50" spans="1:21" x14ac:dyDescent="0.25">
      <c r="A50" s="41">
        <v>2025</v>
      </c>
      <c r="B50" s="166">
        <f t="shared" si="19"/>
        <v>1177000</v>
      </c>
      <c r="C50" s="168">
        <f t="shared" ref="C50:G50" si="32">C11</f>
        <v>1.034</v>
      </c>
      <c r="D50" s="106">
        <f t="shared" si="32"/>
        <v>0.69299999999999995</v>
      </c>
      <c r="E50" s="106">
        <f t="shared" si="32"/>
        <v>4.4000000000000003E-3</v>
      </c>
      <c r="F50" s="106">
        <f t="shared" si="32"/>
        <v>4.1000000000000002E-2</v>
      </c>
      <c r="G50" s="169">
        <f t="shared" si="32"/>
        <v>368.4</v>
      </c>
      <c r="H50" s="167"/>
      <c r="I50" s="38"/>
      <c r="J50" s="38"/>
      <c r="K50" s="38"/>
      <c r="L50" s="166"/>
      <c r="M50" s="133">
        <f t="shared" ref="M50:U50" si="33">ROUND(M11,-3)</f>
        <v>2000</v>
      </c>
      <c r="N50" s="48">
        <f t="shared" si="33"/>
        <v>7000</v>
      </c>
      <c r="O50" s="48">
        <f t="shared" si="33"/>
        <v>2000</v>
      </c>
      <c r="P50" s="48">
        <f t="shared" si="33"/>
        <v>18000</v>
      </c>
      <c r="Q50" s="48">
        <f t="shared" si="33"/>
        <v>23000</v>
      </c>
      <c r="R50" s="48">
        <f t="shared" si="33"/>
        <v>29000</v>
      </c>
      <c r="S50" s="48">
        <f t="shared" si="33"/>
        <v>16000</v>
      </c>
      <c r="T50" s="55">
        <f t="shared" si="33"/>
        <v>23000</v>
      </c>
      <c r="U50" s="57">
        <f t="shared" si="33"/>
        <v>38000</v>
      </c>
    </row>
    <row r="51" spans="1:21" x14ac:dyDescent="0.25">
      <c r="A51" s="41">
        <v>2026</v>
      </c>
      <c r="B51" s="166">
        <f t="shared" si="19"/>
        <v>1190000</v>
      </c>
      <c r="C51" s="168">
        <f t="shared" ref="C51:G51" si="34">C12</f>
        <v>1.034</v>
      </c>
      <c r="D51" s="106">
        <f t="shared" si="34"/>
        <v>0.69299999999999995</v>
      </c>
      <c r="E51" s="106">
        <f t="shared" si="34"/>
        <v>4.4000000000000003E-3</v>
      </c>
      <c r="F51" s="106">
        <f t="shared" si="34"/>
        <v>4.1000000000000002E-2</v>
      </c>
      <c r="G51" s="169">
        <f t="shared" si="34"/>
        <v>368.4</v>
      </c>
      <c r="H51" s="167"/>
      <c r="I51" s="38"/>
      <c r="J51" s="38"/>
      <c r="K51" s="38"/>
      <c r="L51" s="166"/>
      <c r="M51" s="133">
        <f t="shared" ref="M51:U51" si="35">ROUND(M12,-3)</f>
        <v>3000</v>
      </c>
      <c r="N51" s="48">
        <f t="shared" si="35"/>
        <v>7000</v>
      </c>
      <c r="O51" s="48">
        <f t="shared" si="35"/>
        <v>2000</v>
      </c>
      <c r="P51" s="48">
        <f t="shared" si="35"/>
        <v>18000</v>
      </c>
      <c r="Q51" s="48">
        <f t="shared" si="35"/>
        <v>23000</v>
      </c>
      <c r="R51" s="48">
        <f t="shared" si="35"/>
        <v>29000</v>
      </c>
      <c r="S51" s="48">
        <f t="shared" si="35"/>
        <v>15000</v>
      </c>
      <c r="T51" s="55">
        <f t="shared" si="35"/>
        <v>23000</v>
      </c>
      <c r="U51" s="57">
        <f t="shared" si="35"/>
        <v>38000</v>
      </c>
    </row>
    <row r="52" spans="1:21" x14ac:dyDescent="0.25">
      <c r="A52" s="41">
        <v>2027</v>
      </c>
      <c r="B52" s="166">
        <f t="shared" si="19"/>
        <v>1203000</v>
      </c>
      <c r="C52" s="168">
        <f t="shared" ref="C52:G52" si="36">C13</f>
        <v>1.034</v>
      </c>
      <c r="D52" s="106">
        <f t="shared" si="36"/>
        <v>0.69299999999999995</v>
      </c>
      <c r="E52" s="106">
        <f t="shared" si="36"/>
        <v>4.4000000000000003E-3</v>
      </c>
      <c r="F52" s="106">
        <f t="shared" si="36"/>
        <v>4.1000000000000002E-2</v>
      </c>
      <c r="G52" s="169">
        <f t="shared" si="36"/>
        <v>368.4</v>
      </c>
      <c r="H52" s="167"/>
      <c r="I52" s="38"/>
      <c r="J52" s="38"/>
      <c r="K52" s="38"/>
      <c r="L52" s="166"/>
      <c r="M52" s="133">
        <f t="shared" ref="M52:U52" si="37">ROUND(M13,-3)</f>
        <v>3000</v>
      </c>
      <c r="N52" s="48">
        <f t="shared" si="37"/>
        <v>7000</v>
      </c>
      <c r="O52" s="48">
        <f t="shared" si="37"/>
        <v>2000</v>
      </c>
      <c r="P52" s="48">
        <f t="shared" si="37"/>
        <v>18000</v>
      </c>
      <c r="Q52" s="48">
        <f t="shared" si="37"/>
        <v>24000</v>
      </c>
      <c r="R52" s="48">
        <f t="shared" si="37"/>
        <v>29000</v>
      </c>
      <c r="S52" s="48">
        <f t="shared" si="37"/>
        <v>14000</v>
      </c>
      <c r="T52" s="55">
        <f t="shared" si="37"/>
        <v>24000</v>
      </c>
      <c r="U52" s="57">
        <f t="shared" si="37"/>
        <v>38000</v>
      </c>
    </row>
    <row r="53" spans="1:21" x14ac:dyDescent="0.25">
      <c r="A53" s="41">
        <v>2028</v>
      </c>
      <c r="B53" s="166">
        <f t="shared" si="19"/>
        <v>1217000</v>
      </c>
      <c r="C53" s="168">
        <f t="shared" ref="C53:G53" si="38">C14</f>
        <v>1.034</v>
      </c>
      <c r="D53" s="106">
        <f t="shared" si="38"/>
        <v>0.69299999999999995</v>
      </c>
      <c r="E53" s="106">
        <f t="shared" si="38"/>
        <v>4.4000000000000003E-3</v>
      </c>
      <c r="F53" s="106">
        <f t="shared" si="38"/>
        <v>4.1000000000000002E-2</v>
      </c>
      <c r="G53" s="169">
        <f t="shared" si="38"/>
        <v>368.4</v>
      </c>
      <c r="H53" s="167"/>
      <c r="I53" s="38"/>
      <c r="J53" s="38"/>
      <c r="K53" s="38"/>
      <c r="L53" s="166"/>
      <c r="M53" s="133">
        <f t="shared" ref="M53:U53" si="39">ROUND(M14,-3)</f>
        <v>3000</v>
      </c>
      <c r="N53" s="48">
        <f t="shared" si="39"/>
        <v>7000</v>
      </c>
      <c r="O53" s="48">
        <f t="shared" si="39"/>
        <v>2000</v>
      </c>
      <c r="P53" s="48">
        <f t="shared" si="39"/>
        <v>18000</v>
      </c>
      <c r="Q53" s="48">
        <f t="shared" si="39"/>
        <v>25000</v>
      </c>
      <c r="R53" s="48">
        <f t="shared" si="39"/>
        <v>30000</v>
      </c>
      <c r="S53" s="48">
        <f t="shared" si="39"/>
        <v>13000</v>
      </c>
      <c r="T53" s="55">
        <f t="shared" si="39"/>
        <v>25000</v>
      </c>
      <c r="U53" s="57">
        <f t="shared" si="39"/>
        <v>38000</v>
      </c>
    </row>
    <row r="54" spans="1:21" x14ac:dyDescent="0.25">
      <c r="A54" s="41">
        <v>2029</v>
      </c>
      <c r="B54" s="166">
        <f t="shared" si="19"/>
        <v>1230000</v>
      </c>
      <c r="C54" s="168">
        <f t="shared" ref="C54:G54" si="40">C15</f>
        <v>1.034</v>
      </c>
      <c r="D54" s="106">
        <f t="shared" si="40"/>
        <v>0.69299999999999995</v>
      </c>
      <c r="E54" s="106">
        <f t="shared" si="40"/>
        <v>4.4000000000000003E-3</v>
      </c>
      <c r="F54" s="106">
        <f t="shared" si="40"/>
        <v>4.1000000000000002E-2</v>
      </c>
      <c r="G54" s="169">
        <f t="shared" si="40"/>
        <v>368.4</v>
      </c>
      <c r="H54" s="167"/>
      <c r="I54" s="38"/>
      <c r="J54" s="38"/>
      <c r="K54" s="38"/>
      <c r="L54" s="166"/>
      <c r="M54" s="133">
        <f t="shared" ref="M54:U54" si="41">ROUND(M15,-3)</f>
        <v>3000</v>
      </c>
      <c r="N54" s="48">
        <f t="shared" si="41"/>
        <v>7000</v>
      </c>
      <c r="O54" s="48">
        <f t="shared" si="41"/>
        <v>2000</v>
      </c>
      <c r="P54" s="48">
        <f t="shared" si="41"/>
        <v>19000</v>
      </c>
      <c r="Q54" s="48">
        <f t="shared" si="41"/>
        <v>25000</v>
      </c>
      <c r="R54" s="48">
        <f t="shared" si="41"/>
        <v>30000</v>
      </c>
      <c r="S54" s="48">
        <f t="shared" si="41"/>
        <v>12000</v>
      </c>
      <c r="T54" s="55">
        <f t="shared" si="41"/>
        <v>25000</v>
      </c>
      <c r="U54" s="57">
        <f t="shared" si="41"/>
        <v>37000</v>
      </c>
    </row>
    <row r="55" spans="1:21" x14ac:dyDescent="0.25">
      <c r="A55" s="41">
        <v>2030</v>
      </c>
      <c r="B55" s="166">
        <f t="shared" si="19"/>
        <v>1244000</v>
      </c>
      <c r="C55" s="168">
        <f t="shared" ref="C55:G55" si="42">C16</f>
        <v>1.034</v>
      </c>
      <c r="D55" s="106">
        <f t="shared" si="42"/>
        <v>0.69299999999999995</v>
      </c>
      <c r="E55" s="106">
        <f t="shared" si="42"/>
        <v>4.4000000000000003E-3</v>
      </c>
      <c r="F55" s="106">
        <f t="shared" si="42"/>
        <v>4.1000000000000002E-2</v>
      </c>
      <c r="G55" s="169">
        <f t="shared" si="42"/>
        <v>368.4</v>
      </c>
      <c r="H55" s="167"/>
      <c r="I55" s="38"/>
      <c r="J55" s="38"/>
      <c r="K55" s="38"/>
      <c r="L55" s="166"/>
      <c r="M55" s="133">
        <f t="shared" ref="M55:U55" si="43">ROUND(M16,-3)</f>
        <v>3000</v>
      </c>
      <c r="N55" s="48">
        <f t="shared" si="43"/>
        <v>7000</v>
      </c>
      <c r="O55" s="48">
        <f t="shared" si="43"/>
        <v>2000</v>
      </c>
      <c r="P55" s="48">
        <f t="shared" si="43"/>
        <v>19000</v>
      </c>
      <c r="Q55" s="48">
        <f t="shared" si="43"/>
        <v>26000</v>
      </c>
      <c r="R55" s="48">
        <f t="shared" si="43"/>
        <v>30000</v>
      </c>
      <c r="S55" s="48">
        <f t="shared" si="43"/>
        <v>12000</v>
      </c>
      <c r="T55" s="55">
        <f t="shared" si="43"/>
        <v>26000</v>
      </c>
      <c r="U55" s="57">
        <f t="shared" si="43"/>
        <v>37000</v>
      </c>
    </row>
    <row r="56" spans="1:21" x14ac:dyDescent="0.25">
      <c r="A56" s="41">
        <v>2031</v>
      </c>
      <c r="B56" s="166">
        <f t="shared" si="19"/>
        <v>1258000</v>
      </c>
      <c r="C56" s="168">
        <f t="shared" ref="C56:G56" si="44">C17</f>
        <v>1.034</v>
      </c>
      <c r="D56" s="106">
        <f t="shared" si="44"/>
        <v>0.69299999999999995</v>
      </c>
      <c r="E56" s="106">
        <f t="shared" si="44"/>
        <v>4.4000000000000003E-3</v>
      </c>
      <c r="F56" s="106">
        <f t="shared" si="44"/>
        <v>4.1000000000000002E-2</v>
      </c>
      <c r="G56" s="169">
        <f t="shared" si="44"/>
        <v>368.4</v>
      </c>
      <c r="H56" s="167"/>
      <c r="I56" s="38"/>
      <c r="J56" s="38"/>
      <c r="K56" s="38"/>
      <c r="L56" s="166"/>
      <c r="M56" s="133">
        <f t="shared" ref="M56:U56" si="45">ROUND(M17,-3)</f>
        <v>3000</v>
      </c>
      <c r="N56" s="48">
        <f t="shared" si="45"/>
        <v>7000</v>
      </c>
      <c r="O56" s="48">
        <f t="shared" si="45"/>
        <v>2000</v>
      </c>
      <c r="P56" s="48">
        <f t="shared" si="45"/>
        <v>19000</v>
      </c>
      <c r="Q56" s="48">
        <f t="shared" si="45"/>
        <v>27000</v>
      </c>
      <c r="R56" s="48">
        <f t="shared" si="45"/>
        <v>31000</v>
      </c>
      <c r="S56" s="48">
        <f t="shared" si="45"/>
        <v>11000</v>
      </c>
      <c r="T56" s="55">
        <f t="shared" si="45"/>
        <v>27000</v>
      </c>
      <c r="U56" s="57">
        <f t="shared" si="45"/>
        <v>38000</v>
      </c>
    </row>
    <row r="57" spans="1:21" x14ac:dyDescent="0.25">
      <c r="A57" s="41">
        <v>2032</v>
      </c>
      <c r="B57" s="166">
        <f t="shared" si="19"/>
        <v>1272000</v>
      </c>
      <c r="C57" s="168">
        <f t="shared" ref="C57:G57" si="46">C18</f>
        <v>1.034</v>
      </c>
      <c r="D57" s="106">
        <f t="shared" si="46"/>
        <v>0.69299999999999995</v>
      </c>
      <c r="E57" s="106">
        <f t="shared" si="46"/>
        <v>4.4000000000000003E-3</v>
      </c>
      <c r="F57" s="106">
        <f t="shared" si="46"/>
        <v>4.1000000000000002E-2</v>
      </c>
      <c r="G57" s="169">
        <f t="shared" si="46"/>
        <v>368.4</v>
      </c>
      <c r="H57" s="167"/>
      <c r="I57" s="38"/>
      <c r="J57" s="38"/>
      <c r="K57" s="38"/>
      <c r="L57" s="166"/>
      <c r="M57" s="133">
        <f t="shared" ref="M57:U57" si="47">ROUND(M18,-3)</f>
        <v>3000</v>
      </c>
      <c r="N57" s="48">
        <f t="shared" si="47"/>
        <v>7000</v>
      </c>
      <c r="O57" s="48">
        <f t="shared" si="47"/>
        <v>2000</v>
      </c>
      <c r="P57" s="48">
        <f t="shared" si="47"/>
        <v>19000</v>
      </c>
      <c r="Q57" s="48">
        <f t="shared" si="47"/>
        <v>28000</v>
      </c>
      <c r="R57" s="48">
        <f t="shared" si="47"/>
        <v>31000</v>
      </c>
      <c r="S57" s="48">
        <f t="shared" si="47"/>
        <v>10000</v>
      </c>
      <c r="T57" s="55">
        <f t="shared" si="47"/>
        <v>28000</v>
      </c>
      <c r="U57" s="57">
        <f t="shared" si="47"/>
        <v>38000</v>
      </c>
    </row>
    <row r="58" spans="1:21" x14ac:dyDescent="0.25">
      <c r="A58" s="41">
        <v>2033</v>
      </c>
      <c r="B58" s="166">
        <f t="shared" si="19"/>
        <v>1286000</v>
      </c>
      <c r="C58" s="168">
        <f t="shared" ref="C58:G58" si="48">C19</f>
        <v>1.034</v>
      </c>
      <c r="D58" s="106">
        <f t="shared" si="48"/>
        <v>0.69299999999999995</v>
      </c>
      <c r="E58" s="106">
        <f t="shared" si="48"/>
        <v>4.4000000000000003E-3</v>
      </c>
      <c r="F58" s="106">
        <f t="shared" si="48"/>
        <v>4.1000000000000002E-2</v>
      </c>
      <c r="G58" s="169">
        <f t="shared" si="48"/>
        <v>368.4</v>
      </c>
      <c r="H58" s="167"/>
      <c r="I58" s="38"/>
      <c r="J58" s="38"/>
      <c r="K58" s="38"/>
      <c r="L58" s="166"/>
      <c r="M58" s="133">
        <f t="shared" ref="M58:U58" si="49">ROUND(M19,-3)</f>
        <v>3000</v>
      </c>
      <c r="N58" s="48">
        <f t="shared" si="49"/>
        <v>7000</v>
      </c>
      <c r="O58" s="48">
        <f t="shared" si="49"/>
        <v>2000</v>
      </c>
      <c r="P58" s="48">
        <f t="shared" si="49"/>
        <v>19000</v>
      </c>
      <c r="Q58" s="48">
        <f t="shared" si="49"/>
        <v>28000</v>
      </c>
      <c r="R58" s="48">
        <f t="shared" si="49"/>
        <v>31000</v>
      </c>
      <c r="S58" s="48">
        <f t="shared" si="49"/>
        <v>10000</v>
      </c>
      <c r="T58" s="55">
        <f t="shared" si="49"/>
        <v>28000</v>
      </c>
      <c r="U58" s="57">
        <f t="shared" si="49"/>
        <v>38000</v>
      </c>
    </row>
    <row r="59" spans="1:21" x14ac:dyDescent="0.25">
      <c r="A59" s="41">
        <v>2034</v>
      </c>
      <c r="B59" s="166">
        <f t="shared" si="19"/>
        <v>1301000</v>
      </c>
      <c r="C59" s="168">
        <f t="shared" ref="C59:G59" si="50">C20</f>
        <v>1.034</v>
      </c>
      <c r="D59" s="106">
        <f t="shared" si="50"/>
        <v>0.69299999999999995</v>
      </c>
      <c r="E59" s="106">
        <f t="shared" si="50"/>
        <v>4.4000000000000003E-3</v>
      </c>
      <c r="F59" s="106">
        <f t="shared" si="50"/>
        <v>4.1000000000000002E-2</v>
      </c>
      <c r="G59" s="169">
        <f t="shared" si="50"/>
        <v>368.4</v>
      </c>
      <c r="H59" s="167"/>
      <c r="I59" s="38"/>
      <c r="J59" s="38"/>
      <c r="K59" s="38"/>
      <c r="L59" s="166"/>
      <c r="M59" s="133">
        <f t="shared" ref="M59:U59" si="51">ROUND(M20,-3)</f>
        <v>3000</v>
      </c>
      <c r="N59" s="48">
        <f t="shared" si="51"/>
        <v>7000</v>
      </c>
      <c r="O59" s="48">
        <f t="shared" si="51"/>
        <v>2000</v>
      </c>
      <c r="P59" s="48">
        <f t="shared" si="51"/>
        <v>20000</v>
      </c>
      <c r="Q59" s="48">
        <f t="shared" si="51"/>
        <v>29000</v>
      </c>
      <c r="R59" s="48">
        <f t="shared" si="51"/>
        <v>32000</v>
      </c>
      <c r="S59" s="48">
        <f t="shared" si="51"/>
        <v>9000</v>
      </c>
      <c r="T59" s="55">
        <f t="shared" si="51"/>
        <v>29000</v>
      </c>
      <c r="U59" s="57">
        <f t="shared" si="51"/>
        <v>39000</v>
      </c>
    </row>
    <row r="60" spans="1:21" x14ac:dyDescent="0.25">
      <c r="A60" s="41">
        <v>2035</v>
      </c>
      <c r="B60" s="166">
        <f t="shared" si="19"/>
        <v>1315000</v>
      </c>
      <c r="C60" s="168">
        <f t="shared" ref="C60:G60" si="52">C21</f>
        <v>1.034</v>
      </c>
      <c r="D60" s="106">
        <f t="shared" si="52"/>
        <v>0.69299999999999995</v>
      </c>
      <c r="E60" s="106">
        <f t="shared" si="52"/>
        <v>4.4000000000000003E-3</v>
      </c>
      <c r="F60" s="106">
        <f t="shared" si="52"/>
        <v>4.1000000000000002E-2</v>
      </c>
      <c r="G60" s="169">
        <f t="shared" si="52"/>
        <v>368.4</v>
      </c>
      <c r="H60" s="167"/>
      <c r="I60" s="38"/>
      <c r="J60" s="38"/>
      <c r="K60" s="38"/>
      <c r="L60" s="166"/>
      <c r="M60" s="133">
        <f t="shared" ref="M60:U60" si="53">ROUND(M21,-3)</f>
        <v>3000</v>
      </c>
      <c r="N60" s="48">
        <f t="shared" si="53"/>
        <v>7000</v>
      </c>
      <c r="O60" s="48">
        <f t="shared" si="53"/>
        <v>2000</v>
      </c>
      <c r="P60" s="48">
        <f t="shared" si="53"/>
        <v>20000</v>
      </c>
      <c r="Q60" s="48">
        <f t="shared" si="53"/>
        <v>30000</v>
      </c>
      <c r="R60" s="48">
        <f t="shared" si="53"/>
        <v>32000</v>
      </c>
      <c r="S60" s="48">
        <f t="shared" si="53"/>
        <v>9000</v>
      </c>
      <c r="T60" s="55">
        <f t="shared" si="53"/>
        <v>30000</v>
      </c>
      <c r="U60" s="57">
        <f t="shared" si="53"/>
        <v>39000</v>
      </c>
    </row>
    <row r="61" spans="1:21" x14ac:dyDescent="0.25">
      <c r="A61" s="41">
        <v>2036</v>
      </c>
      <c r="B61" s="166">
        <f t="shared" si="19"/>
        <v>1330000</v>
      </c>
      <c r="C61" s="168">
        <f t="shared" ref="C61:G61" si="54">C22</f>
        <v>1.034</v>
      </c>
      <c r="D61" s="106">
        <f t="shared" si="54"/>
        <v>0.69299999999999995</v>
      </c>
      <c r="E61" s="106">
        <f t="shared" si="54"/>
        <v>4.4000000000000003E-3</v>
      </c>
      <c r="F61" s="106">
        <f t="shared" si="54"/>
        <v>4.1000000000000002E-2</v>
      </c>
      <c r="G61" s="169">
        <f t="shared" si="54"/>
        <v>368.4</v>
      </c>
      <c r="H61" s="167"/>
      <c r="I61" s="38"/>
      <c r="J61" s="38"/>
      <c r="K61" s="38"/>
      <c r="L61" s="166"/>
      <c r="M61" s="133">
        <f t="shared" ref="M61:U61" si="55">ROUND(M22,-3)</f>
        <v>3000</v>
      </c>
      <c r="N61" s="48">
        <f t="shared" si="55"/>
        <v>7000</v>
      </c>
      <c r="O61" s="48">
        <f t="shared" si="55"/>
        <v>2000</v>
      </c>
      <c r="P61" s="48">
        <f t="shared" si="55"/>
        <v>20000</v>
      </c>
      <c r="Q61" s="48">
        <f t="shared" si="55"/>
        <v>31000</v>
      </c>
      <c r="R61" s="48">
        <f t="shared" si="55"/>
        <v>32000</v>
      </c>
      <c r="S61" s="48">
        <f t="shared" si="55"/>
        <v>8000</v>
      </c>
      <c r="T61" s="55">
        <f t="shared" si="55"/>
        <v>31000</v>
      </c>
      <c r="U61" s="57">
        <f t="shared" si="55"/>
        <v>39000</v>
      </c>
    </row>
    <row r="62" spans="1:21" x14ac:dyDescent="0.25">
      <c r="A62" s="41">
        <v>2037</v>
      </c>
      <c r="B62" s="166">
        <f t="shared" si="19"/>
        <v>1345000</v>
      </c>
      <c r="C62" s="168">
        <f t="shared" ref="C62:G62" si="56">C23</f>
        <v>1.034</v>
      </c>
      <c r="D62" s="106">
        <f t="shared" si="56"/>
        <v>0.69299999999999995</v>
      </c>
      <c r="E62" s="106">
        <f t="shared" si="56"/>
        <v>4.4000000000000003E-3</v>
      </c>
      <c r="F62" s="106">
        <f t="shared" si="56"/>
        <v>4.1000000000000002E-2</v>
      </c>
      <c r="G62" s="169">
        <f t="shared" si="56"/>
        <v>368.4</v>
      </c>
      <c r="H62" s="167"/>
      <c r="I62" s="38"/>
      <c r="J62" s="38"/>
      <c r="K62" s="38"/>
      <c r="L62" s="166"/>
      <c r="M62" s="133">
        <f t="shared" ref="M62:U62" si="57">ROUND(M23,-3)</f>
        <v>3000</v>
      </c>
      <c r="N62" s="48">
        <f t="shared" si="57"/>
        <v>7000</v>
      </c>
      <c r="O62" s="48">
        <f t="shared" si="57"/>
        <v>2000</v>
      </c>
      <c r="P62" s="48">
        <f t="shared" si="57"/>
        <v>20000</v>
      </c>
      <c r="Q62" s="48">
        <f t="shared" si="57"/>
        <v>32000</v>
      </c>
      <c r="R62" s="48">
        <f t="shared" si="57"/>
        <v>33000</v>
      </c>
      <c r="S62" s="48">
        <f t="shared" si="57"/>
        <v>8000</v>
      </c>
      <c r="T62" s="55">
        <f t="shared" si="57"/>
        <v>32000</v>
      </c>
      <c r="U62" s="57">
        <f t="shared" si="57"/>
        <v>40000</v>
      </c>
    </row>
    <row r="63" spans="1:21" x14ac:dyDescent="0.25">
      <c r="A63" s="41">
        <v>2038</v>
      </c>
      <c r="B63" s="166">
        <f t="shared" si="19"/>
        <v>1360000</v>
      </c>
      <c r="C63" s="168">
        <f t="shared" ref="C63:G63" si="58">C24</f>
        <v>1.034</v>
      </c>
      <c r="D63" s="106">
        <f t="shared" si="58"/>
        <v>0.69299999999999995</v>
      </c>
      <c r="E63" s="106">
        <f t="shared" si="58"/>
        <v>4.4000000000000003E-3</v>
      </c>
      <c r="F63" s="106">
        <f t="shared" si="58"/>
        <v>4.1000000000000002E-2</v>
      </c>
      <c r="G63" s="169">
        <f t="shared" si="58"/>
        <v>368.4</v>
      </c>
      <c r="H63" s="167"/>
      <c r="I63" s="38"/>
      <c r="J63" s="38"/>
      <c r="K63" s="38"/>
      <c r="L63" s="166"/>
      <c r="M63" s="133">
        <f t="shared" ref="M63:U63" si="59">ROUND(M24,-3)</f>
        <v>3000</v>
      </c>
      <c r="N63" s="48">
        <f t="shared" si="59"/>
        <v>8000</v>
      </c>
      <c r="O63" s="48">
        <f t="shared" si="59"/>
        <v>2000</v>
      </c>
      <c r="P63" s="48">
        <f t="shared" si="59"/>
        <v>20000</v>
      </c>
      <c r="Q63" s="48">
        <f t="shared" si="59"/>
        <v>33000</v>
      </c>
      <c r="R63" s="48">
        <f t="shared" si="59"/>
        <v>33000</v>
      </c>
      <c r="S63" s="48">
        <f t="shared" si="59"/>
        <v>7000</v>
      </c>
      <c r="T63" s="55">
        <f t="shared" si="59"/>
        <v>33000</v>
      </c>
      <c r="U63" s="57">
        <f t="shared" si="59"/>
        <v>40000</v>
      </c>
    </row>
    <row r="64" spans="1:21" x14ac:dyDescent="0.25">
      <c r="A64" s="41">
        <v>2039</v>
      </c>
      <c r="B64" s="166">
        <f t="shared" si="19"/>
        <v>1375000</v>
      </c>
      <c r="C64" s="168">
        <f t="shared" ref="C64:G64" si="60">C25</f>
        <v>1.034</v>
      </c>
      <c r="D64" s="106">
        <f t="shared" si="60"/>
        <v>0.69299999999999995</v>
      </c>
      <c r="E64" s="106">
        <f t="shared" si="60"/>
        <v>4.4000000000000003E-3</v>
      </c>
      <c r="F64" s="106">
        <f t="shared" si="60"/>
        <v>4.1000000000000002E-2</v>
      </c>
      <c r="G64" s="169">
        <f t="shared" si="60"/>
        <v>368.4</v>
      </c>
      <c r="H64" s="167"/>
      <c r="I64" s="38"/>
      <c r="J64" s="38"/>
      <c r="K64" s="38"/>
      <c r="L64" s="166"/>
      <c r="M64" s="133">
        <f t="shared" ref="M64:U64" si="61">ROUND(M25,-3)</f>
        <v>3000</v>
      </c>
      <c r="N64" s="48">
        <f t="shared" si="61"/>
        <v>8000</v>
      </c>
      <c r="O64" s="48">
        <f t="shared" si="61"/>
        <v>2000</v>
      </c>
      <c r="P64" s="48">
        <f t="shared" si="61"/>
        <v>21000</v>
      </c>
      <c r="Q64" s="48">
        <f t="shared" si="61"/>
        <v>34000</v>
      </c>
      <c r="R64" s="48">
        <f t="shared" si="61"/>
        <v>33000</v>
      </c>
      <c r="S64" s="48">
        <f t="shared" si="61"/>
        <v>7000</v>
      </c>
      <c r="T64" s="55">
        <f t="shared" si="61"/>
        <v>34000</v>
      </c>
      <c r="U64" s="57">
        <f t="shared" si="61"/>
        <v>41000</v>
      </c>
    </row>
    <row r="65" spans="1:21" x14ac:dyDescent="0.25">
      <c r="A65" s="41">
        <v>2040</v>
      </c>
      <c r="B65" s="166">
        <f t="shared" si="19"/>
        <v>1391000</v>
      </c>
      <c r="C65" s="168">
        <f t="shared" ref="C65:G65" si="62">C26</f>
        <v>1.034</v>
      </c>
      <c r="D65" s="106">
        <f t="shared" si="62"/>
        <v>0.69299999999999995</v>
      </c>
      <c r="E65" s="106">
        <f t="shared" si="62"/>
        <v>4.4000000000000003E-3</v>
      </c>
      <c r="F65" s="106">
        <f t="shared" si="62"/>
        <v>4.1000000000000002E-2</v>
      </c>
      <c r="G65" s="169">
        <f t="shared" si="62"/>
        <v>368.4</v>
      </c>
      <c r="H65" s="167"/>
      <c r="I65" s="38"/>
      <c r="J65" s="38"/>
      <c r="K65" s="38"/>
      <c r="L65" s="166"/>
      <c r="M65" s="133">
        <f t="shared" ref="M65:U65" si="63">ROUND(M26,-3)</f>
        <v>3000</v>
      </c>
      <c r="N65" s="48">
        <f t="shared" si="63"/>
        <v>8000</v>
      </c>
      <c r="O65" s="48">
        <f t="shared" si="63"/>
        <v>2000</v>
      </c>
      <c r="P65" s="48">
        <f t="shared" si="63"/>
        <v>21000</v>
      </c>
      <c r="Q65" s="48">
        <f t="shared" si="63"/>
        <v>35000</v>
      </c>
      <c r="R65" s="48">
        <f t="shared" si="63"/>
        <v>34000</v>
      </c>
      <c r="S65" s="48">
        <f t="shared" si="63"/>
        <v>7000</v>
      </c>
      <c r="T65" s="55">
        <f t="shared" si="63"/>
        <v>35000</v>
      </c>
      <c r="U65" s="57">
        <f t="shared" si="63"/>
        <v>42000</v>
      </c>
    </row>
    <row r="66" spans="1:21" x14ac:dyDescent="0.25">
      <c r="A66" s="41">
        <v>2041</v>
      </c>
      <c r="B66" s="166">
        <f t="shared" si="19"/>
        <v>1406000</v>
      </c>
      <c r="C66" s="168">
        <f t="shared" ref="C66:G66" si="64">C27</f>
        <v>1.034</v>
      </c>
      <c r="D66" s="106">
        <f t="shared" si="64"/>
        <v>0.69299999999999995</v>
      </c>
      <c r="E66" s="106">
        <f t="shared" si="64"/>
        <v>4.4000000000000003E-3</v>
      </c>
      <c r="F66" s="106">
        <f t="shared" si="64"/>
        <v>4.1000000000000002E-2</v>
      </c>
      <c r="G66" s="169">
        <f t="shared" si="64"/>
        <v>368.4</v>
      </c>
      <c r="H66" s="167"/>
      <c r="I66" s="38"/>
      <c r="J66" s="38"/>
      <c r="K66" s="38"/>
      <c r="L66" s="166"/>
      <c r="M66" s="133">
        <f t="shared" ref="M66:U66" si="65">ROUND(M27,-3)</f>
        <v>3000</v>
      </c>
      <c r="N66" s="48">
        <f t="shared" si="65"/>
        <v>8000</v>
      </c>
      <c r="O66" s="48">
        <f t="shared" si="65"/>
        <v>2000</v>
      </c>
      <c r="P66" s="48">
        <f t="shared" si="65"/>
        <v>21000</v>
      </c>
      <c r="Q66" s="48">
        <f t="shared" si="65"/>
        <v>36000</v>
      </c>
      <c r="R66" s="48">
        <f t="shared" si="65"/>
        <v>34000</v>
      </c>
      <c r="S66" s="48">
        <f t="shared" si="65"/>
        <v>6000</v>
      </c>
      <c r="T66" s="55">
        <f t="shared" si="65"/>
        <v>36000</v>
      </c>
      <c r="U66" s="57">
        <f t="shared" si="65"/>
        <v>42000</v>
      </c>
    </row>
    <row r="67" spans="1:21" x14ac:dyDescent="0.25">
      <c r="A67" s="41">
        <v>2042</v>
      </c>
      <c r="B67" s="166">
        <f t="shared" si="19"/>
        <v>1422000</v>
      </c>
      <c r="C67" s="168">
        <f t="shared" ref="C67:G67" si="66">C28</f>
        <v>1.034</v>
      </c>
      <c r="D67" s="106">
        <f t="shared" si="66"/>
        <v>0.69299999999999995</v>
      </c>
      <c r="E67" s="106">
        <f t="shared" si="66"/>
        <v>4.4000000000000003E-3</v>
      </c>
      <c r="F67" s="106">
        <f t="shared" si="66"/>
        <v>4.1000000000000002E-2</v>
      </c>
      <c r="G67" s="169">
        <f t="shared" si="66"/>
        <v>368.4</v>
      </c>
      <c r="H67" s="167"/>
      <c r="I67" s="38"/>
      <c r="J67" s="38"/>
      <c r="K67" s="38"/>
      <c r="L67" s="166"/>
      <c r="M67" s="133">
        <f t="shared" ref="M67:U67" si="67">ROUND(M28,-3)</f>
        <v>3000</v>
      </c>
      <c r="N67" s="48">
        <f t="shared" si="67"/>
        <v>8000</v>
      </c>
      <c r="O67" s="48">
        <f t="shared" si="67"/>
        <v>2000</v>
      </c>
      <c r="P67" s="48">
        <f t="shared" si="67"/>
        <v>21000</v>
      </c>
      <c r="Q67" s="48">
        <f t="shared" si="67"/>
        <v>36000</v>
      </c>
      <c r="R67" s="48">
        <f t="shared" si="67"/>
        <v>35000</v>
      </c>
      <c r="S67" s="48">
        <f t="shared" si="67"/>
        <v>6000</v>
      </c>
      <c r="T67" s="55">
        <f t="shared" si="67"/>
        <v>36000</v>
      </c>
      <c r="U67" s="57">
        <f t="shared" si="67"/>
        <v>42000</v>
      </c>
    </row>
    <row r="68" spans="1:21" x14ac:dyDescent="0.25">
      <c r="A68" s="41">
        <v>2043</v>
      </c>
      <c r="B68" s="166">
        <f t="shared" si="19"/>
        <v>1438000</v>
      </c>
      <c r="C68" s="168">
        <f t="shared" ref="C68:G68" si="68">C29</f>
        <v>1.034</v>
      </c>
      <c r="D68" s="106">
        <f t="shared" si="68"/>
        <v>0.69299999999999995</v>
      </c>
      <c r="E68" s="106">
        <f t="shared" si="68"/>
        <v>4.4000000000000003E-3</v>
      </c>
      <c r="F68" s="106">
        <f t="shared" si="68"/>
        <v>4.1000000000000002E-2</v>
      </c>
      <c r="G68" s="169">
        <f t="shared" si="68"/>
        <v>368.4</v>
      </c>
      <c r="H68" s="167"/>
      <c r="I68" s="38"/>
      <c r="J68" s="38"/>
      <c r="K68" s="38"/>
      <c r="L68" s="166"/>
      <c r="M68" s="133">
        <f t="shared" ref="M68:U68" si="69">ROUND(M29,-3)</f>
        <v>3000</v>
      </c>
      <c r="N68" s="48">
        <f t="shared" si="69"/>
        <v>8000</v>
      </c>
      <c r="O68" s="48">
        <f t="shared" si="69"/>
        <v>2000</v>
      </c>
      <c r="P68" s="48">
        <f t="shared" si="69"/>
        <v>22000</v>
      </c>
      <c r="Q68" s="48">
        <f t="shared" si="69"/>
        <v>37000</v>
      </c>
      <c r="R68" s="48">
        <f t="shared" si="69"/>
        <v>35000</v>
      </c>
      <c r="S68" s="48">
        <f t="shared" si="69"/>
        <v>6000</v>
      </c>
      <c r="T68" s="55">
        <f t="shared" si="69"/>
        <v>37000</v>
      </c>
      <c r="U68" s="57">
        <f t="shared" si="69"/>
        <v>43000</v>
      </c>
    </row>
    <row r="69" spans="1:21" x14ac:dyDescent="0.25">
      <c r="A69" s="41">
        <v>2044</v>
      </c>
      <c r="B69" s="166">
        <f t="shared" si="19"/>
        <v>1454000</v>
      </c>
      <c r="C69" s="168">
        <f t="shared" ref="C69:G69" si="70">C30</f>
        <v>1.034</v>
      </c>
      <c r="D69" s="106">
        <f t="shared" si="70"/>
        <v>0.69299999999999995</v>
      </c>
      <c r="E69" s="106">
        <f t="shared" si="70"/>
        <v>4.4000000000000003E-3</v>
      </c>
      <c r="F69" s="106">
        <f t="shared" si="70"/>
        <v>4.1000000000000002E-2</v>
      </c>
      <c r="G69" s="169">
        <f t="shared" si="70"/>
        <v>368.4</v>
      </c>
      <c r="H69" s="167"/>
      <c r="I69" s="38"/>
      <c r="J69" s="38"/>
      <c r="K69" s="38"/>
      <c r="L69" s="166"/>
      <c r="M69" s="133">
        <f t="shared" ref="M69:U69" si="71">ROUND(M30,-3)</f>
        <v>3000</v>
      </c>
      <c r="N69" s="48">
        <f t="shared" si="71"/>
        <v>8000</v>
      </c>
      <c r="O69" s="48">
        <f t="shared" si="71"/>
        <v>2000</v>
      </c>
      <c r="P69" s="48">
        <f t="shared" si="71"/>
        <v>22000</v>
      </c>
      <c r="Q69" s="48">
        <f t="shared" si="71"/>
        <v>38000</v>
      </c>
      <c r="R69" s="48">
        <f t="shared" si="71"/>
        <v>35000</v>
      </c>
      <c r="S69" s="48">
        <f t="shared" si="71"/>
        <v>5000</v>
      </c>
      <c r="T69" s="55">
        <f t="shared" si="71"/>
        <v>38000</v>
      </c>
      <c r="U69" s="57">
        <f t="shared" si="71"/>
        <v>43000</v>
      </c>
    </row>
    <row r="70" spans="1:21" x14ac:dyDescent="0.25">
      <c r="A70" s="41">
        <v>2045</v>
      </c>
      <c r="B70" s="166">
        <f t="shared" si="19"/>
        <v>1470000</v>
      </c>
      <c r="C70" s="168">
        <f t="shared" ref="C70:G70" si="72">C31</f>
        <v>1.034</v>
      </c>
      <c r="D70" s="106">
        <f t="shared" si="72"/>
        <v>0.69299999999999995</v>
      </c>
      <c r="E70" s="106">
        <f t="shared" si="72"/>
        <v>4.4000000000000003E-3</v>
      </c>
      <c r="F70" s="106">
        <f t="shared" si="72"/>
        <v>4.1000000000000002E-2</v>
      </c>
      <c r="G70" s="169">
        <f t="shared" si="72"/>
        <v>368.4</v>
      </c>
      <c r="H70" s="167"/>
      <c r="I70" s="38"/>
      <c r="J70" s="38"/>
      <c r="K70" s="38"/>
      <c r="L70" s="166"/>
      <c r="M70" s="133">
        <f t="shared" ref="M70:U70" si="73">ROUND(M31,-3)</f>
        <v>3000</v>
      </c>
      <c r="N70" s="48">
        <f t="shared" si="73"/>
        <v>8000</v>
      </c>
      <c r="O70" s="48">
        <f t="shared" si="73"/>
        <v>2000</v>
      </c>
      <c r="P70" s="48">
        <f t="shared" si="73"/>
        <v>22000</v>
      </c>
      <c r="Q70" s="48">
        <f t="shared" si="73"/>
        <v>39000</v>
      </c>
      <c r="R70" s="48">
        <f t="shared" si="73"/>
        <v>36000</v>
      </c>
      <c r="S70" s="48">
        <f t="shared" si="73"/>
        <v>5000</v>
      </c>
      <c r="T70" s="55">
        <f t="shared" si="73"/>
        <v>39000</v>
      </c>
      <c r="U70" s="57">
        <f t="shared" si="73"/>
        <v>44000</v>
      </c>
    </row>
    <row r="71" spans="1:21" x14ac:dyDescent="0.25">
      <c r="A71" s="41">
        <v>2046</v>
      </c>
      <c r="B71" s="166">
        <f t="shared" si="19"/>
        <v>1487000</v>
      </c>
      <c r="C71" s="168">
        <f t="shared" ref="C71:G71" si="74">C32</f>
        <v>1.034</v>
      </c>
      <c r="D71" s="106">
        <f t="shared" si="74"/>
        <v>0.69299999999999995</v>
      </c>
      <c r="E71" s="106">
        <f t="shared" si="74"/>
        <v>4.4000000000000003E-3</v>
      </c>
      <c r="F71" s="106">
        <f t="shared" si="74"/>
        <v>4.1000000000000002E-2</v>
      </c>
      <c r="G71" s="169">
        <f t="shared" si="74"/>
        <v>368.4</v>
      </c>
      <c r="H71" s="167"/>
      <c r="I71" s="38"/>
      <c r="J71" s="38"/>
      <c r="K71" s="38"/>
      <c r="L71" s="166"/>
      <c r="M71" s="133">
        <f t="shared" ref="M71:U71" si="75">ROUND(M32,-3)</f>
        <v>3000</v>
      </c>
      <c r="N71" s="48">
        <f t="shared" si="75"/>
        <v>8000</v>
      </c>
      <c r="O71" s="48">
        <f t="shared" si="75"/>
        <v>2000</v>
      </c>
      <c r="P71" s="48">
        <f t="shared" si="75"/>
        <v>22000</v>
      </c>
      <c r="Q71" s="48">
        <f t="shared" si="75"/>
        <v>40000</v>
      </c>
      <c r="R71" s="48">
        <f t="shared" si="75"/>
        <v>36000</v>
      </c>
      <c r="S71" s="48">
        <f t="shared" si="75"/>
        <v>5000</v>
      </c>
      <c r="T71" s="55">
        <f t="shared" si="75"/>
        <v>40000</v>
      </c>
      <c r="U71" s="57">
        <f t="shared" si="75"/>
        <v>45000</v>
      </c>
    </row>
    <row r="72" spans="1:21" x14ac:dyDescent="0.25">
      <c r="A72" s="41">
        <v>2047</v>
      </c>
      <c r="B72" s="166">
        <f t="shared" si="19"/>
        <v>1503000</v>
      </c>
      <c r="C72" s="168">
        <f t="shared" ref="C72:G72" si="76">C33</f>
        <v>1.034</v>
      </c>
      <c r="D72" s="106">
        <f t="shared" si="76"/>
        <v>0.69299999999999995</v>
      </c>
      <c r="E72" s="106">
        <f t="shared" si="76"/>
        <v>4.4000000000000003E-3</v>
      </c>
      <c r="F72" s="106">
        <f t="shared" si="76"/>
        <v>4.1000000000000002E-2</v>
      </c>
      <c r="G72" s="169">
        <f t="shared" si="76"/>
        <v>368.4</v>
      </c>
      <c r="H72" s="167"/>
      <c r="I72" s="38"/>
      <c r="J72" s="38"/>
      <c r="K72" s="38"/>
      <c r="L72" s="166"/>
      <c r="M72" s="133">
        <f t="shared" ref="M72:U72" si="77">ROUND(M33,-3)</f>
        <v>3000</v>
      </c>
      <c r="N72" s="48">
        <f t="shared" si="77"/>
        <v>8000</v>
      </c>
      <c r="O72" s="48">
        <f t="shared" si="77"/>
        <v>2000</v>
      </c>
      <c r="P72" s="48">
        <f t="shared" si="77"/>
        <v>23000</v>
      </c>
      <c r="Q72" s="48">
        <f t="shared" si="77"/>
        <v>41000</v>
      </c>
      <c r="R72" s="48">
        <f t="shared" si="77"/>
        <v>37000</v>
      </c>
      <c r="S72" s="48">
        <f t="shared" si="77"/>
        <v>4000</v>
      </c>
      <c r="T72" s="55">
        <f t="shared" si="77"/>
        <v>41000</v>
      </c>
      <c r="U72" s="57">
        <f t="shared" si="77"/>
        <v>46000</v>
      </c>
    </row>
    <row r="73" spans="1:21" x14ac:dyDescent="0.25">
      <c r="A73" s="41">
        <v>2048</v>
      </c>
      <c r="B73" s="166">
        <f t="shared" si="19"/>
        <v>1520000</v>
      </c>
      <c r="C73" s="168">
        <f t="shared" ref="C73:G73" si="78">C34</f>
        <v>1.034</v>
      </c>
      <c r="D73" s="106">
        <f t="shared" si="78"/>
        <v>0.69299999999999995</v>
      </c>
      <c r="E73" s="106">
        <f t="shared" si="78"/>
        <v>4.4000000000000003E-3</v>
      </c>
      <c r="F73" s="106">
        <f t="shared" si="78"/>
        <v>4.1000000000000002E-2</v>
      </c>
      <c r="G73" s="169">
        <f t="shared" si="78"/>
        <v>368.4</v>
      </c>
      <c r="H73" s="167"/>
      <c r="I73" s="38"/>
      <c r="J73" s="38"/>
      <c r="K73" s="38"/>
      <c r="L73" s="166"/>
      <c r="M73" s="133">
        <f t="shared" ref="M73:U73" si="79">ROUND(M34,-3)</f>
        <v>3000</v>
      </c>
      <c r="N73" s="48">
        <f t="shared" si="79"/>
        <v>8000</v>
      </c>
      <c r="O73" s="48">
        <f t="shared" si="79"/>
        <v>2000</v>
      </c>
      <c r="P73" s="48">
        <f t="shared" si="79"/>
        <v>23000</v>
      </c>
      <c r="Q73" s="48">
        <f t="shared" si="79"/>
        <v>43000</v>
      </c>
      <c r="R73" s="48">
        <f t="shared" si="79"/>
        <v>37000</v>
      </c>
      <c r="S73" s="48">
        <f t="shared" si="79"/>
        <v>4000</v>
      </c>
      <c r="T73" s="55">
        <f t="shared" si="79"/>
        <v>43000</v>
      </c>
      <c r="U73" s="57">
        <f t="shared" si="79"/>
        <v>47000</v>
      </c>
    </row>
    <row r="74" spans="1:21" ht="15.75" thickBot="1" x14ac:dyDescent="0.3">
      <c r="A74" s="41">
        <v>2049</v>
      </c>
      <c r="B74" s="166">
        <f t="shared" si="19"/>
        <v>1537000</v>
      </c>
      <c r="C74" s="168">
        <f t="shared" ref="C74:G74" si="80">C35</f>
        <v>1.034</v>
      </c>
      <c r="D74" s="106">
        <f t="shared" si="80"/>
        <v>0.69299999999999995</v>
      </c>
      <c r="E74" s="106">
        <f t="shared" si="80"/>
        <v>4.4000000000000003E-3</v>
      </c>
      <c r="F74" s="106">
        <f t="shared" si="80"/>
        <v>4.1000000000000002E-2</v>
      </c>
      <c r="G74" s="169">
        <f t="shared" si="80"/>
        <v>368.4</v>
      </c>
      <c r="H74" s="167"/>
      <c r="I74" s="38"/>
      <c r="J74" s="38"/>
      <c r="K74" s="38"/>
      <c r="L74" s="166"/>
      <c r="M74" s="133">
        <f t="shared" ref="M74:U74" si="81">ROUND(M35,-3)</f>
        <v>3000</v>
      </c>
      <c r="N74" s="48">
        <f t="shared" si="81"/>
        <v>9000</v>
      </c>
      <c r="O74" s="48">
        <f t="shared" si="81"/>
        <v>2000</v>
      </c>
      <c r="P74" s="48">
        <f t="shared" si="81"/>
        <v>23000</v>
      </c>
      <c r="Q74" s="48">
        <f t="shared" si="81"/>
        <v>44000</v>
      </c>
      <c r="R74" s="48">
        <f t="shared" si="81"/>
        <v>37000</v>
      </c>
      <c r="S74" s="48">
        <f t="shared" si="81"/>
        <v>4000</v>
      </c>
      <c r="T74" s="55">
        <f t="shared" si="81"/>
        <v>44000</v>
      </c>
      <c r="U74" s="57">
        <f t="shared" si="81"/>
        <v>48000</v>
      </c>
    </row>
    <row r="75" spans="1:21" ht="15.75" thickBot="1" x14ac:dyDescent="0.3">
      <c r="A75" s="52" t="s">
        <v>165</v>
      </c>
      <c r="B75" s="170">
        <f t="shared" si="19"/>
        <v>39422000</v>
      </c>
      <c r="C75" s="171">
        <f t="shared" ref="C75:G75" si="82">C36</f>
        <v>0</v>
      </c>
      <c r="D75" s="116">
        <f t="shared" si="82"/>
        <v>0</v>
      </c>
      <c r="E75" s="116">
        <f t="shared" si="82"/>
        <v>0</v>
      </c>
      <c r="F75" s="116">
        <f t="shared" si="82"/>
        <v>0</v>
      </c>
      <c r="G75" s="117">
        <f t="shared" si="82"/>
        <v>0</v>
      </c>
      <c r="H75" s="172"/>
      <c r="I75" s="116"/>
      <c r="J75" s="116"/>
      <c r="K75" s="116"/>
      <c r="L75" s="170"/>
      <c r="M75" s="149">
        <f t="shared" ref="M75:U75" si="83">ROUND(M36,-3)</f>
        <v>83000</v>
      </c>
      <c r="N75" s="122">
        <f t="shared" si="83"/>
        <v>219000</v>
      </c>
      <c r="O75" s="122">
        <f t="shared" si="83"/>
        <v>64000</v>
      </c>
      <c r="P75" s="122">
        <f t="shared" si="83"/>
        <v>593000</v>
      </c>
      <c r="Q75" s="122">
        <f t="shared" si="83"/>
        <v>907000</v>
      </c>
      <c r="R75" s="122">
        <f t="shared" si="83"/>
        <v>959000</v>
      </c>
      <c r="S75" s="122">
        <f t="shared" si="83"/>
        <v>307000</v>
      </c>
      <c r="T75" s="120">
        <f t="shared" si="83"/>
        <v>907000</v>
      </c>
      <c r="U75" s="121">
        <f t="shared" si="83"/>
        <v>1214000</v>
      </c>
    </row>
  </sheetData>
  <sheetProtection password="891C" sheet="1" objects="1" scenarios="1"/>
  <mergeCells count="10">
    <mergeCell ref="H2:L2"/>
    <mergeCell ref="C2:G2"/>
    <mergeCell ref="M2:U2"/>
    <mergeCell ref="A2:A3"/>
    <mergeCell ref="B2:B3"/>
    <mergeCell ref="A41:A42"/>
    <mergeCell ref="B41:B42"/>
    <mergeCell ref="C41:G41"/>
    <mergeCell ref="H41:L41"/>
    <mergeCell ref="M41:U41"/>
  </mergeCells>
  <pageMargins left="0.7" right="0.7" top="0.75" bottom="0.75" header="0.3" footer="0.3"/>
  <pageSetup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zoomScale="80" zoomScaleNormal="80" workbookViewId="0">
      <selection activeCell="J36" sqref="J36"/>
    </sheetView>
  </sheetViews>
  <sheetFormatPr defaultRowHeight="15" x14ac:dyDescent="0.25"/>
  <cols>
    <col min="2" max="2" width="15.7109375" style="6" customWidth="1"/>
    <col min="3" max="3" width="15.7109375" customWidth="1"/>
    <col min="4" max="7" width="15.7109375" style="6" customWidth="1"/>
    <col min="8" max="10" width="15.7109375" style="28" customWidth="1"/>
    <col min="12" max="12" width="13" bestFit="1" customWidth="1"/>
  </cols>
  <sheetData>
    <row r="1" spans="1:31" ht="15.75" thickBot="1" x14ac:dyDescent="0.3">
      <c r="B1" s="91"/>
      <c r="C1" s="12"/>
      <c r="D1" s="91"/>
      <c r="E1" s="91"/>
      <c r="F1" s="91"/>
      <c r="G1" s="91"/>
      <c r="H1" s="90"/>
      <c r="I1" s="90"/>
      <c r="J1" s="90"/>
      <c r="K1" s="12"/>
      <c r="L1" s="12"/>
      <c r="M1" s="12"/>
      <c r="N1" s="12"/>
      <c r="O1" s="12"/>
      <c r="P1" s="12"/>
      <c r="Q1" s="12"/>
      <c r="R1" s="12"/>
      <c r="S1" s="12"/>
      <c r="T1" s="12"/>
      <c r="U1" s="12"/>
      <c r="V1" s="12"/>
      <c r="W1" s="12"/>
      <c r="X1" s="12"/>
      <c r="Y1" s="12"/>
      <c r="Z1" s="12"/>
      <c r="AA1" s="12"/>
      <c r="AB1" s="12"/>
      <c r="AC1" s="12"/>
      <c r="AD1" s="12"/>
      <c r="AE1" s="12"/>
    </row>
    <row r="2" spans="1:31" s="32" customFormat="1" ht="75" x14ac:dyDescent="0.25">
      <c r="A2" s="97" t="s">
        <v>132</v>
      </c>
      <c r="B2" s="153" t="s">
        <v>318</v>
      </c>
      <c r="C2" s="154" t="s">
        <v>319</v>
      </c>
      <c r="D2" s="155" t="s">
        <v>382</v>
      </c>
      <c r="E2" s="153" t="s">
        <v>316</v>
      </c>
      <c r="F2" s="153" t="s">
        <v>317</v>
      </c>
      <c r="G2" s="155" t="s">
        <v>292</v>
      </c>
      <c r="H2" s="156" t="s">
        <v>390</v>
      </c>
      <c r="I2" s="157" t="s">
        <v>293</v>
      </c>
      <c r="J2" s="159" t="s">
        <v>294</v>
      </c>
      <c r="K2" s="88"/>
      <c r="L2" s="88"/>
      <c r="M2" s="88"/>
      <c r="N2" s="88"/>
      <c r="O2" s="88"/>
      <c r="P2" s="88"/>
      <c r="Q2" s="88"/>
      <c r="R2" s="88"/>
      <c r="S2" s="88"/>
      <c r="T2" s="88"/>
      <c r="U2" s="88"/>
      <c r="V2" s="88"/>
      <c r="W2" s="88"/>
      <c r="X2" s="88"/>
      <c r="Y2" s="88"/>
      <c r="Z2" s="88"/>
      <c r="AA2" s="88"/>
      <c r="AB2" s="88"/>
      <c r="AC2" s="88"/>
      <c r="AD2" s="88"/>
      <c r="AE2" s="88"/>
    </row>
    <row r="3" spans="1:31" x14ac:dyDescent="0.25">
      <c r="A3" s="70">
        <v>2018</v>
      </c>
      <c r="B3" s="110">
        <f>Inputs!$B$21</f>
        <v>2000</v>
      </c>
      <c r="C3" s="111">
        <f>Inputs!$B$141/12</f>
        <v>3.6774999999999998</v>
      </c>
      <c r="D3" s="92">
        <f t="shared" ref="D3" si="0">B3*C3*7.48</f>
        <v>55015.399999999994</v>
      </c>
      <c r="E3" s="107">
        <f>Inputs!$B$137</f>
        <v>0.7</v>
      </c>
      <c r="F3" s="107">
        <f>E3</f>
        <v>0.7</v>
      </c>
      <c r="G3" s="92">
        <f t="shared" ref="G3" si="1">(D3*E3)-(D3*F3)</f>
        <v>0</v>
      </c>
      <c r="H3" s="109">
        <v>0</v>
      </c>
      <c r="I3" s="158">
        <f>B3*H3</f>
        <v>0</v>
      </c>
      <c r="J3" s="160">
        <f>ROUND(I3/((1+Inputs!$B$3)^(A3-2016)),0)</f>
        <v>0</v>
      </c>
      <c r="K3" s="12"/>
      <c r="L3" s="177"/>
      <c r="M3" s="12"/>
      <c r="N3" s="12"/>
      <c r="O3" s="12"/>
      <c r="P3" s="12"/>
      <c r="Q3" s="12"/>
      <c r="R3" s="12"/>
      <c r="S3" s="12"/>
      <c r="T3" s="12"/>
      <c r="U3" s="12"/>
      <c r="V3" s="12"/>
      <c r="W3" s="12"/>
      <c r="X3" s="12"/>
      <c r="Y3" s="12"/>
      <c r="Z3" s="12"/>
      <c r="AA3" s="12"/>
      <c r="AB3" s="12"/>
      <c r="AC3" s="12"/>
      <c r="AD3" s="12"/>
      <c r="AE3" s="12"/>
    </row>
    <row r="4" spans="1:31" x14ac:dyDescent="0.25">
      <c r="A4" s="70">
        <v>2019</v>
      </c>
      <c r="B4" s="110">
        <f>Inputs!$B$21</f>
        <v>2000</v>
      </c>
      <c r="C4" s="111">
        <f>Inputs!$B$141/12</f>
        <v>3.6774999999999998</v>
      </c>
      <c r="D4" s="92">
        <f t="shared" ref="D4:D34" si="2">B4*C4*7.48</f>
        <v>55015.399999999994</v>
      </c>
      <c r="E4" s="107">
        <f>Inputs!$B$137</f>
        <v>0.7</v>
      </c>
      <c r="F4" s="107">
        <f>E4</f>
        <v>0.7</v>
      </c>
      <c r="G4" s="92">
        <f t="shared" ref="G4:G34" si="3">(D4*E4)-(D4*F4)</f>
        <v>0</v>
      </c>
      <c r="H4" s="109">
        <v>0</v>
      </c>
      <c r="I4" s="158">
        <f t="shared" ref="I4:I34" si="4">B4*H4</f>
        <v>0</v>
      </c>
      <c r="J4" s="160">
        <f>ROUND(I4/((1+Inputs!$B$3)^(A4-2016)),0)</f>
        <v>0</v>
      </c>
      <c r="K4" s="12"/>
      <c r="L4" s="12"/>
      <c r="M4" s="12"/>
      <c r="N4" s="12"/>
      <c r="O4" s="12"/>
      <c r="P4" s="12"/>
      <c r="Q4" s="12"/>
      <c r="R4" s="12"/>
      <c r="S4" s="12"/>
      <c r="T4" s="12"/>
      <c r="U4" s="12"/>
      <c r="V4" s="12"/>
      <c r="W4" s="12"/>
      <c r="X4" s="12"/>
      <c r="Y4" s="12"/>
      <c r="Z4" s="12"/>
      <c r="AA4" s="12"/>
      <c r="AB4" s="12"/>
      <c r="AC4" s="12"/>
      <c r="AD4" s="12"/>
      <c r="AE4" s="12"/>
    </row>
    <row r="5" spans="1:31" x14ac:dyDescent="0.25">
      <c r="A5" s="70">
        <v>2020</v>
      </c>
      <c r="B5" s="110">
        <f>Inputs!$B$21</f>
        <v>2000</v>
      </c>
      <c r="C5" s="111">
        <f>Inputs!$B$141/12</f>
        <v>3.6774999999999998</v>
      </c>
      <c r="D5" s="92">
        <f t="shared" ref="D5" si="5">B5*C5*7.48</f>
        <v>55015.399999999994</v>
      </c>
      <c r="E5" s="107">
        <f>Inputs!$B$137</f>
        <v>0.7</v>
      </c>
      <c r="F5" s="107">
        <f>Inputs!$B$138</f>
        <v>0.1</v>
      </c>
      <c r="G5" s="92">
        <f t="shared" ref="G5" si="6">(D5*E5)-(D5*F5)</f>
        <v>33009.239999999991</v>
      </c>
      <c r="H5" s="109">
        <f>Inputs!$B$139</f>
        <v>2.2128000000000002E-2</v>
      </c>
      <c r="I5" s="158">
        <f t="shared" ref="I5" si="7">B5*H5</f>
        <v>44.256</v>
      </c>
      <c r="J5" s="160">
        <f>ROUND(I5/((1+Inputs!$B$3)^(A5-2016)),0)</f>
        <v>34</v>
      </c>
      <c r="K5" s="12"/>
      <c r="L5" s="12"/>
      <c r="M5" s="12"/>
      <c r="N5" s="12"/>
      <c r="O5" s="12"/>
      <c r="P5" s="12"/>
      <c r="Q5" s="12"/>
      <c r="R5" s="12"/>
      <c r="S5" s="12"/>
      <c r="T5" s="12"/>
      <c r="U5" s="12"/>
      <c r="V5" s="12"/>
      <c r="W5" s="12"/>
      <c r="X5" s="12"/>
      <c r="Y5" s="12"/>
      <c r="Z5" s="12"/>
      <c r="AA5" s="12"/>
      <c r="AB5" s="12"/>
      <c r="AC5" s="12"/>
      <c r="AD5" s="12"/>
      <c r="AE5" s="12"/>
    </row>
    <row r="6" spans="1:31" x14ac:dyDescent="0.25">
      <c r="A6" s="70">
        <v>2021</v>
      </c>
      <c r="B6" s="110">
        <f>Inputs!$B$21</f>
        <v>2000</v>
      </c>
      <c r="C6" s="111">
        <f>Inputs!$B$141/12</f>
        <v>3.6774999999999998</v>
      </c>
      <c r="D6" s="92">
        <f t="shared" si="2"/>
        <v>55015.399999999994</v>
      </c>
      <c r="E6" s="107">
        <f>Inputs!$B$137</f>
        <v>0.7</v>
      </c>
      <c r="F6" s="107">
        <f>Inputs!$B$138</f>
        <v>0.1</v>
      </c>
      <c r="G6" s="92">
        <f t="shared" si="3"/>
        <v>33009.239999999991</v>
      </c>
      <c r="H6" s="109">
        <f>Inputs!$B$139</f>
        <v>2.2128000000000002E-2</v>
      </c>
      <c r="I6" s="158">
        <f t="shared" si="4"/>
        <v>44.256</v>
      </c>
      <c r="J6" s="160">
        <f>ROUND(I6/((1+Inputs!$B$3)^(A6-2016)),0)</f>
        <v>32</v>
      </c>
      <c r="K6" s="12"/>
      <c r="L6" s="12"/>
      <c r="M6" s="12"/>
      <c r="N6" s="12"/>
      <c r="O6" s="12"/>
      <c r="P6" s="12"/>
      <c r="Q6" s="12"/>
      <c r="R6" s="12"/>
      <c r="S6" s="12"/>
      <c r="T6" s="12"/>
      <c r="U6" s="12"/>
      <c r="V6" s="12"/>
      <c r="W6" s="12"/>
      <c r="X6" s="12"/>
      <c r="Y6" s="12"/>
      <c r="Z6" s="12"/>
      <c r="AA6" s="12"/>
      <c r="AB6" s="12"/>
      <c r="AC6" s="12"/>
      <c r="AD6" s="12"/>
      <c r="AE6" s="12"/>
    </row>
    <row r="7" spans="1:31" x14ac:dyDescent="0.25">
      <c r="A7" s="70">
        <v>2022</v>
      </c>
      <c r="B7" s="110">
        <f>Inputs!$B$21</f>
        <v>2000</v>
      </c>
      <c r="C7" s="111">
        <f>Inputs!$B$141/12</f>
        <v>3.6774999999999998</v>
      </c>
      <c r="D7" s="92">
        <f t="shared" si="2"/>
        <v>55015.399999999994</v>
      </c>
      <c r="E7" s="107">
        <f>Inputs!$B$137</f>
        <v>0.7</v>
      </c>
      <c r="F7" s="107">
        <f>Inputs!$B$138</f>
        <v>0.1</v>
      </c>
      <c r="G7" s="92">
        <f t="shared" si="3"/>
        <v>33009.239999999991</v>
      </c>
      <c r="H7" s="109">
        <f>Inputs!$B$139</f>
        <v>2.2128000000000002E-2</v>
      </c>
      <c r="I7" s="158">
        <f t="shared" si="4"/>
        <v>44.256</v>
      </c>
      <c r="J7" s="160">
        <f>ROUND(I7/((1+Inputs!$B$3)^(A7-2016)),0)</f>
        <v>29</v>
      </c>
      <c r="K7" s="12"/>
      <c r="L7" s="12"/>
      <c r="M7" s="12"/>
      <c r="N7" s="12"/>
      <c r="O7" s="12"/>
      <c r="P7" s="12"/>
      <c r="Q7" s="12"/>
      <c r="R7" s="12"/>
      <c r="S7" s="12"/>
      <c r="T7" s="12"/>
      <c r="U7" s="12"/>
      <c r="V7" s="12"/>
      <c r="W7" s="12"/>
      <c r="X7" s="12"/>
      <c r="Y7" s="12"/>
      <c r="Z7" s="12"/>
      <c r="AA7" s="12"/>
      <c r="AB7" s="12"/>
      <c r="AC7" s="12"/>
      <c r="AD7" s="12"/>
      <c r="AE7" s="12"/>
    </row>
    <row r="8" spans="1:31" x14ac:dyDescent="0.25">
      <c r="A8" s="70">
        <v>2023</v>
      </c>
      <c r="B8" s="110">
        <f>Inputs!$B$21</f>
        <v>2000</v>
      </c>
      <c r="C8" s="111">
        <f>Inputs!$B$141/12</f>
        <v>3.6774999999999998</v>
      </c>
      <c r="D8" s="92">
        <f t="shared" si="2"/>
        <v>55015.399999999994</v>
      </c>
      <c r="E8" s="107">
        <f>Inputs!$B$137</f>
        <v>0.7</v>
      </c>
      <c r="F8" s="107">
        <f>Inputs!$B$138</f>
        <v>0.1</v>
      </c>
      <c r="G8" s="92">
        <f t="shared" si="3"/>
        <v>33009.239999999991</v>
      </c>
      <c r="H8" s="109">
        <f>Inputs!$B$139</f>
        <v>2.2128000000000002E-2</v>
      </c>
      <c r="I8" s="158">
        <f t="shared" si="4"/>
        <v>44.256</v>
      </c>
      <c r="J8" s="160">
        <f>ROUND(I8/((1+Inputs!$B$3)^(A8-2016)),0)</f>
        <v>28</v>
      </c>
      <c r="K8" s="12"/>
      <c r="L8" s="12"/>
      <c r="M8" s="12"/>
      <c r="N8" s="12"/>
      <c r="O8" s="12"/>
      <c r="P8" s="12"/>
      <c r="Q8" s="12"/>
      <c r="R8" s="12"/>
      <c r="S8" s="12"/>
      <c r="T8" s="12"/>
      <c r="U8" s="12"/>
      <c r="V8" s="12"/>
      <c r="W8" s="12"/>
      <c r="X8" s="12"/>
      <c r="Y8" s="12"/>
      <c r="Z8" s="12"/>
      <c r="AA8" s="12"/>
      <c r="AB8" s="12"/>
      <c r="AC8" s="12"/>
      <c r="AD8" s="12"/>
      <c r="AE8" s="12"/>
    </row>
    <row r="9" spans="1:31" x14ac:dyDescent="0.25">
      <c r="A9" s="70">
        <v>2024</v>
      </c>
      <c r="B9" s="110">
        <f>Inputs!$B$21</f>
        <v>2000</v>
      </c>
      <c r="C9" s="111">
        <f>Inputs!$B$141/12</f>
        <v>3.6774999999999998</v>
      </c>
      <c r="D9" s="92">
        <f t="shared" si="2"/>
        <v>55015.399999999994</v>
      </c>
      <c r="E9" s="107">
        <f>Inputs!$B$137</f>
        <v>0.7</v>
      </c>
      <c r="F9" s="107">
        <f>Inputs!$B$138</f>
        <v>0.1</v>
      </c>
      <c r="G9" s="92">
        <f t="shared" si="3"/>
        <v>33009.239999999991</v>
      </c>
      <c r="H9" s="109">
        <f>Inputs!$B$139</f>
        <v>2.2128000000000002E-2</v>
      </c>
      <c r="I9" s="158">
        <f t="shared" si="4"/>
        <v>44.256</v>
      </c>
      <c r="J9" s="160">
        <f>ROUND(I9/((1+Inputs!$B$3)^(A9-2016)),0)</f>
        <v>26</v>
      </c>
      <c r="K9" s="12"/>
      <c r="L9" s="12"/>
      <c r="M9" s="12"/>
      <c r="N9" s="12"/>
      <c r="O9" s="12"/>
      <c r="P9" s="12"/>
      <c r="Q9" s="12"/>
      <c r="R9" s="12"/>
      <c r="S9" s="12"/>
      <c r="T9" s="12"/>
      <c r="U9" s="12"/>
      <c r="V9" s="12"/>
      <c r="W9" s="12"/>
      <c r="X9" s="12"/>
      <c r="Y9" s="12"/>
      <c r="Z9" s="12"/>
      <c r="AA9" s="12"/>
      <c r="AB9" s="12"/>
      <c r="AC9" s="12"/>
      <c r="AD9" s="12"/>
      <c r="AE9" s="12"/>
    </row>
    <row r="10" spans="1:31" x14ac:dyDescent="0.25">
      <c r="A10" s="70">
        <v>2025</v>
      </c>
      <c r="B10" s="110">
        <f>Inputs!$B$21</f>
        <v>2000</v>
      </c>
      <c r="C10" s="111">
        <f>Inputs!$B$141/12</f>
        <v>3.6774999999999998</v>
      </c>
      <c r="D10" s="92">
        <f t="shared" si="2"/>
        <v>55015.399999999994</v>
      </c>
      <c r="E10" s="107">
        <f>Inputs!$B$137</f>
        <v>0.7</v>
      </c>
      <c r="F10" s="107">
        <f>Inputs!$B$138</f>
        <v>0.1</v>
      </c>
      <c r="G10" s="92">
        <f t="shared" si="3"/>
        <v>33009.239999999991</v>
      </c>
      <c r="H10" s="109">
        <f>Inputs!$B$139</f>
        <v>2.2128000000000002E-2</v>
      </c>
      <c r="I10" s="158">
        <f t="shared" si="4"/>
        <v>44.256</v>
      </c>
      <c r="J10" s="160">
        <f>ROUND(I10/((1+Inputs!$B$3)^(A10-2016)),0)</f>
        <v>24</v>
      </c>
      <c r="K10" s="12"/>
      <c r="L10" s="12"/>
      <c r="M10" s="12"/>
      <c r="N10" s="12"/>
      <c r="O10" s="12"/>
      <c r="P10" s="12"/>
      <c r="Q10" s="12"/>
      <c r="R10" s="12"/>
      <c r="S10" s="12"/>
      <c r="T10" s="12"/>
      <c r="U10" s="12"/>
      <c r="V10" s="12"/>
      <c r="W10" s="12"/>
      <c r="X10" s="12"/>
      <c r="Y10" s="12"/>
      <c r="Z10" s="12"/>
      <c r="AA10" s="12"/>
      <c r="AB10" s="12"/>
      <c r="AC10" s="12"/>
      <c r="AD10" s="12"/>
      <c r="AE10" s="12"/>
    </row>
    <row r="11" spans="1:31" x14ac:dyDescent="0.25">
      <c r="A11" s="70">
        <v>2026</v>
      </c>
      <c r="B11" s="110">
        <f>Inputs!$B$21</f>
        <v>2000</v>
      </c>
      <c r="C11" s="111">
        <f>Inputs!$B$141/12</f>
        <v>3.6774999999999998</v>
      </c>
      <c r="D11" s="92">
        <f t="shared" si="2"/>
        <v>55015.399999999994</v>
      </c>
      <c r="E11" s="107">
        <f>Inputs!$B$137</f>
        <v>0.7</v>
      </c>
      <c r="F11" s="107">
        <f>Inputs!$B$138</f>
        <v>0.1</v>
      </c>
      <c r="G11" s="92">
        <f t="shared" si="3"/>
        <v>33009.239999999991</v>
      </c>
      <c r="H11" s="109">
        <f>Inputs!$B$139</f>
        <v>2.2128000000000002E-2</v>
      </c>
      <c r="I11" s="158">
        <f t="shared" si="4"/>
        <v>44.256</v>
      </c>
      <c r="J11" s="160">
        <f>ROUND(I11/((1+Inputs!$B$3)^(A11-2016)),0)</f>
        <v>22</v>
      </c>
      <c r="K11" s="12"/>
      <c r="L11" s="12"/>
      <c r="M11" s="12"/>
      <c r="N11" s="12"/>
      <c r="O11" s="12"/>
      <c r="P11" s="12"/>
      <c r="Q11" s="12"/>
      <c r="R11" s="12"/>
      <c r="S11" s="12"/>
      <c r="T11" s="12"/>
      <c r="U11" s="12"/>
      <c r="V11" s="12"/>
      <c r="W11" s="12"/>
      <c r="X11" s="12"/>
      <c r="Y11" s="12"/>
      <c r="Z11" s="12"/>
      <c r="AA11" s="12"/>
      <c r="AB11" s="12"/>
      <c r="AC11" s="12"/>
      <c r="AD11" s="12"/>
      <c r="AE11" s="12"/>
    </row>
    <row r="12" spans="1:31" x14ac:dyDescent="0.25">
      <c r="A12" s="70">
        <v>2027</v>
      </c>
      <c r="B12" s="110">
        <f>Inputs!$B$21</f>
        <v>2000</v>
      </c>
      <c r="C12" s="111">
        <f>Inputs!$B$141/12</f>
        <v>3.6774999999999998</v>
      </c>
      <c r="D12" s="92">
        <f t="shared" si="2"/>
        <v>55015.399999999994</v>
      </c>
      <c r="E12" s="107">
        <f>Inputs!$B$137</f>
        <v>0.7</v>
      </c>
      <c r="F12" s="107">
        <f>Inputs!$B$138</f>
        <v>0.1</v>
      </c>
      <c r="G12" s="92">
        <f t="shared" si="3"/>
        <v>33009.239999999991</v>
      </c>
      <c r="H12" s="109">
        <f>Inputs!$B$139</f>
        <v>2.2128000000000002E-2</v>
      </c>
      <c r="I12" s="158">
        <f t="shared" si="4"/>
        <v>44.256</v>
      </c>
      <c r="J12" s="160">
        <f>ROUND(I12/((1+Inputs!$B$3)^(A12-2016)),0)</f>
        <v>21</v>
      </c>
      <c r="K12" s="12"/>
      <c r="L12" s="12"/>
      <c r="M12" s="12"/>
      <c r="N12" s="12"/>
      <c r="O12" s="12"/>
      <c r="P12" s="12"/>
      <c r="Q12" s="12"/>
      <c r="R12" s="12"/>
      <c r="S12" s="12"/>
      <c r="T12" s="12"/>
      <c r="U12" s="12"/>
      <c r="V12" s="12"/>
      <c r="W12" s="12"/>
      <c r="X12" s="12"/>
      <c r="Y12" s="12"/>
      <c r="Z12" s="12"/>
      <c r="AA12" s="12"/>
      <c r="AB12" s="12"/>
      <c r="AC12" s="12"/>
      <c r="AD12" s="12"/>
      <c r="AE12" s="12"/>
    </row>
    <row r="13" spans="1:31" x14ac:dyDescent="0.25">
      <c r="A13" s="70">
        <v>2028</v>
      </c>
      <c r="B13" s="110">
        <f>Inputs!$B$21</f>
        <v>2000</v>
      </c>
      <c r="C13" s="111">
        <f>Inputs!$B$141/12</f>
        <v>3.6774999999999998</v>
      </c>
      <c r="D13" s="92">
        <f t="shared" si="2"/>
        <v>55015.399999999994</v>
      </c>
      <c r="E13" s="107">
        <f>Inputs!$B$137</f>
        <v>0.7</v>
      </c>
      <c r="F13" s="107">
        <f>Inputs!$B$138</f>
        <v>0.1</v>
      </c>
      <c r="G13" s="92">
        <f t="shared" si="3"/>
        <v>33009.239999999991</v>
      </c>
      <c r="H13" s="109">
        <f>Inputs!$B$139</f>
        <v>2.2128000000000002E-2</v>
      </c>
      <c r="I13" s="158">
        <f t="shared" si="4"/>
        <v>44.256</v>
      </c>
      <c r="J13" s="160">
        <f>ROUND(I13/((1+Inputs!$B$3)^(A13-2016)),0)</f>
        <v>20</v>
      </c>
      <c r="K13" s="12"/>
      <c r="L13" s="12"/>
      <c r="M13" s="12"/>
      <c r="N13" s="12"/>
      <c r="O13" s="12"/>
      <c r="P13" s="12"/>
      <c r="Q13" s="12"/>
      <c r="R13" s="12"/>
      <c r="S13" s="12"/>
      <c r="T13" s="12"/>
      <c r="U13" s="12"/>
      <c r="V13" s="12"/>
      <c r="W13" s="12"/>
      <c r="X13" s="12"/>
      <c r="Y13" s="12"/>
      <c r="Z13" s="12"/>
      <c r="AA13" s="12"/>
      <c r="AB13" s="12"/>
      <c r="AC13" s="12"/>
      <c r="AD13" s="12"/>
      <c r="AE13" s="12"/>
    </row>
    <row r="14" spans="1:31" x14ac:dyDescent="0.25">
      <c r="A14" s="70">
        <v>2029</v>
      </c>
      <c r="B14" s="110">
        <f>Inputs!$B$21</f>
        <v>2000</v>
      </c>
      <c r="C14" s="111">
        <f>Inputs!$B$141/12</f>
        <v>3.6774999999999998</v>
      </c>
      <c r="D14" s="92">
        <f t="shared" si="2"/>
        <v>55015.399999999994</v>
      </c>
      <c r="E14" s="107">
        <f>Inputs!$B$137</f>
        <v>0.7</v>
      </c>
      <c r="F14" s="107">
        <f>Inputs!$B$138</f>
        <v>0.1</v>
      </c>
      <c r="G14" s="92">
        <f t="shared" si="3"/>
        <v>33009.239999999991</v>
      </c>
      <c r="H14" s="109">
        <f>Inputs!$B$139</f>
        <v>2.2128000000000002E-2</v>
      </c>
      <c r="I14" s="158">
        <f t="shared" si="4"/>
        <v>44.256</v>
      </c>
      <c r="J14" s="160">
        <f>ROUND(I14/((1+Inputs!$B$3)^(A14-2016)),0)</f>
        <v>18</v>
      </c>
      <c r="K14" s="12"/>
      <c r="L14" s="12"/>
      <c r="M14" s="12"/>
      <c r="N14" s="12"/>
      <c r="O14" s="12"/>
      <c r="P14" s="12"/>
      <c r="Q14" s="12"/>
      <c r="R14" s="12"/>
      <c r="S14" s="12"/>
      <c r="T14" s="12"/>
      <c r="U14" s="12"/>
      <c r="V14" s="12"/>
      <c r="W14" s="12"/>
      <c r="X14" s="12"/>
      <c r="Y14" s="12"/>
      <c r="Z14" s="12"/>
      <c r="AA14" s="12"/>
      <c r="AB14" s="12"/>
      <c r="AC14" s="12"/>
      <c r="AD14" s="12"/>
      <c r="AE14" s="12"/>
    </row>
    <row r="15" spans="1:31" x14ac:dyDescent="0.25">
      <c r="A15" s="70">
        <v>2030</v>
      </c>
      <c r="B15" s="50">
        <f>Inputs!$B$21</f>
        <v>2000</v>
      </c>
      <c r="C15" s="98">
        <f>Inputs!$B$141/12</f>
        <v>3.6774999999999998</v>
      </c>
      <c r="D15" s="38">
        <f t="shared" si="2"/>
        <v>55015.399999999994</v>
      </c>
      <c r="E15" s="108">
        <f>Inputs!$B$137</f>
        <v>0.7</v>
      </c>
      <c r="F15" s="108">
        <f>Inputs!$B$138</f>
        <v>0.1</v>
      </c>
      <c r="G15" s="38">
        <f t="shared" si="3"/>
        <v>33009.239999999991</v>
      </c>
      <c r="H15" s="86">
        <f>Inputs!$B$139</f>
        <v>2.2128000000000002E-2</v>
      </c>
      <c r="I15" s="55">
        <f t="shared" si="4"/>
        <v>44.256</v>
      </c>
      <c r="J15" s="57">
        <f>ROUND(I15/((1+Inputs!$B$3)^(A15-2016)),0)</f>
        <v>17</v>
      </c>
    </row>
    <row r="16" spans="1:31" x14ac:dyDescent="0.25">
      <c r="A16" s="70">
        <v>2031</v>
      </c>
      <c r="B16" s="50">
        <f>Inputs!$B$21</f>
        <v>2000</v>
      </c>
      <c r="C16" s="98">
        <f>Inputs!$B$141/12</f>
        <v>3.6774999999999998</v>
      </c>
      <c r="D16" s="38">
        <f t="shared" si="2"/>
        <v>55015.399999999994</v>
      </c>
      <c r="E16" s="108">
        <f>Inputs!$B$137</f>
        <v>0.7</v>
      </c>
      <c r="F16" s="108">
        <f>Inputs!$B$138</f>
        <v>0.1</v>
      </c>
      <c r="G16" s="38">
        <f t="shared" si="3"/>
        <v>33009.239999999991</v>
      </c>
      <c r="H16" s="86">
        <f>Inputs!$B$139</f>
        <v>2.2128000000000002E-2</v>
      </c>
      <c r="I16" s="55">
        <f t="shared" si="4"/>
        <v>44.256</v>
      </c>
      <c r="J16" s="57">
        <f>ROUND(I16/((1+Inputs!$B$3)^(A16-2016)),0)</f>
        <v>16</v>
      </c>
    </row>
    <row r="17" spans="1:10" x14ac:dyDescent="0.25">
      <c r="A17" s="70">
        <v>2032</v>
      </c>
      <c r="B17" s="50">
        <f>Inputs!$B$21</f>
        <v>2000</v>
      </c>
      <c r="C17" s="98">
        <f>Inputs!$B$141/12</f>
        <v>3.6774999999999998</v>
      </c>
      <c r="D17" s="38">
        <f t="shared" si="2"/>
        <v>55015.399999999994</v>
      </c>
      <c r="E17" s="108">
        <f>Inputs!$B$137</f>
        <v>0.7</v>
      </c>
      <c r="F17" s="108">
        <f>Inputs!$B$138</f>
        <v>0.1</v>
      </c>
      <c r="G17" s="38">
        <f t="shared" si="3"/>
        <v>33009.239999999991</v>
      </c>
      <c r="H17" s="86">
        <f>Inputs!$B$139</f>
        <v>2.2128000000000002E-2</v>
      </c>
      <c r="I17" s="55">
        <f t="shared" si="4"/>
        <v>44.256</v>
      </c>
      <c r="J17" s="57">
        <f>ROUND(I17/((1+Inputs!$B$3)^(A17-2016)),0)</f>
        <v>15</v>
      </c>
    </row>
    <row r="18" spans="1:10" x14ac:dyDescent="0.25">
      <c r="A18" s="70">
        <v>2033</v>
      </c>
      <c r="B18" s="50">
        <f>Inputs!$B$21</f>
        <v>2000</v>
      </c>
      <c r="C18" s="98">
        <f>Inputs!$B$141/12</f>
        <v>3.6774999999999998</v>
      </c>
      <c r="D18" s="38">
        <f t="shared" si="2"/>
        <v>55015.399999999994</v>
      </c>
      <c r="E18" s="108">
        <f>Inputs!$B$137</f>
        <v>0.7</v>
      </c>
      <c r="F18" s="108">
        <f>Inputs!$B$138</f>
        <v>0.1</v>
      </c>
      <c r="G18" s="38">
        <f t="shared" si="3"/>
        <v>33009.239999999991</v>
      </c>
      <c r="H18" s="86">
        <f>Inputs!$B$139</f>
        <v>2.2128000000000002E-2</v>
      </c>
      <c r="I18" s="55">
        <f t="shared" si="4"/>
        <v>44.256</v>
      </c>
      <c r="J18" s="57">
        <f>ROUND(I18/((1+Inputs!$B$3)^(A18-2016)),0)</f>
        <v>14</v>
      </c>
    </row>
    <row r="19" spans="1:10" x14ac:dyDescent="0.25">
      <c r="A19" s="70">
        <v>2034</v>
      </c>
      <c r="B19" s="50">
        <f>Inputs!$B$21</f>
        <v>2000</v>
      </c>
      <c r="C19" s="98">
        <f>Inputs!$B$141/12</f>
        <v>3.6774999999999998</v>
      </c>
      <c r="D19" s="38">
        <f t="shared" si="2"/>
        <v>55015.399999999994</v>
      </c>
      <c r="E19" s="108">
        <f>Inputs!$B$137</f>
        <v>0.7</v>
      </c>
      <c r="F19" s="108">
        <f>Inputs!$B$138</f>
        <v>0.1</v>
      </c>
      <c r="G19" s="38">
        <f t="shared" si="3"/>
        <v>33009.239999999991</v>
      </c>
      <c r="H19" s="86">
        <f>Inputs!$B$139</f>
        <v>2.2128000000000002E-2</v>
      </c>
      <c r="I19" s="55">
        <f t="shared" si="4"/>
        <v>44.256</v>
      </c>
      <c r="J19" s="57">
        <f>ROUND(I19/((1+Inputs!$B$3)^(A19-2016)),0)</f>
        <v>13</v>
      </c>
    </row>
    <row r="20" spans="1:10" x14ac:dyDescent="0.25">
      <c r="A20" s="70">
        <v>2035</v>
      </c>
      <c r="B20" s="50">
        <f>Inputs!$B$21</f>
        <v>2000</v>
      </c>
      <c r="C20" s="98">
        <f>Inputs!$B$141/12</f>
        <v>3.6774999999999998</v>
      </c>
      <c r="D20" s="38">
        <f t="shared" si="2"/>
        <v>55015.399999999994</v>
      </c>
      <c r="E20" s="108">
        <f>Inputs!$B$137</f>
        <v>0.7</v>
      </c>
      <c r="F20" s="108">
        <f>Inputs!$B$138</f>
        <v>0.1</v>
      </c>
      <c r="G20" s="38">
        <f t="shared" si="3"/>
        <v>33009.239999999991</v>
      </c>
      <c r="H20" s="86">
        <f>Inputs!$B$139</f>
        <v>2.2128000000000002E-2</v>
      </c>
      <c r="I20" s="55">
        <f t="shared" si="4"/>
        <v>44.256</v>
      </c>
      <c r="J20" s="57">
        <f>ROUND(I20/((1+Inputs!$B$3)^(A20-2016)),0)</f>
        <v>12</v>
      </c>
    </row>
    <row r="21" spans="1:10" x14ac:dyDescent="0.25">
      <c r="A21" s="70">
        <v>2036</v>
      </c>
      <c r="B21" s="50">
        <f>Inputs!$B$21</f>
        <v>2000</v>
      </c>
      <c r="C21" s="98">
        <f>Inputs!$B$141/12</f>
        <v>3.6774999999999998</v>
      </c>
      <c r="D21" s="38">
        <f t="shared" si="2"/>
        <v>55015.399999999994</v>
      </c>
      <c r="E21" s="108">
        <f>Inputs!$B$137</f>
        <v>0.7</v>
      </c>
      <c r="F21" s="108">
        <f>Inputs!$B$138</f>
        <v>0.1</v>
      </c>
      <c r="G21" s="38">
        <f t="shared" si="3"/>
        <v>33009.239999999991</v>
      </c>
      <c r="H21" s="86">
        <f>Inputs!$B$139</f>
        <v>2.2128000000000002E-2</v>
      </c>
      <c r="I21" s="55">
        <f t="shared" si="4"/>
        <v>44.256</v>
      </c>
      <c r="J21" s="57">
        <f>ROUND(I21/((1+Inputs!$B$3)^(A21-2016)),0)</f>
        <v>11</v>
      </c>
    </row>
    <row r="22" spans="1:10" x14ac:dyDescent="0.25">
      <c r="A22" s="70">
        <v>2037</v>
      </c>
      <c r="B22" s="50">
        <f>Inputs!$B$21</f>
        <v>2000</v>
      </c>
      <c r="C22" s="98">
        <f>Inputs!$B$141/12</f>
        <v>3.6774999999999998</v>
      </c>
      <c r="D22" s="38">
        <f t="shared" si="2"/>
        <v>55015.399999999994</v>
      </c>
      <c r="E22" s="108">
        <f>Inputs!$B$137</f>
        <v>0.7</v>
      </c>
      <c r="F22" s="108">
        <f>Inputs!$B$138</f>
        <v>0.1</v>
      </c>
      <c r="G22" s="38">
        <f t="shared" si="3"/>
        <v>33009.239999999991</v>
      </c>
      <c r="H22" s="86">
        <f>Inputs!$B$139</f>
        <v>2.2128000000000002E-2</v>
      </c>
      <c r="I22" s="55">
        <f t="shared" si="4"/>
        <v>44.256</v>
      </c>
      <c r="J22" s="57">
        <f>ROUND(I22/((1+Inputs!$B$3)^(A22-2016)),0)</f>
        <v>11</v>
      </c>
    </row>
    <row r="23" spans="1:10" x14ac:dyDescent="0.25">
      <c r="A23" s="70">
        <v>2038</v>
      </c>
      <c r="B23" s="50">
        <f>Inputs!$B$21</f>
        <v>2000</v>
      </c>
      <c r="C23" s="98">
        <f>Inputs!$B$141/12</f>
        <v>3.6774999999999998</v>
      </c>
      <c r="D23" s="38">
        <f t="shared" si="2"/>
        <v>55015.399999999994</v>
      </c>
      <c r="E23" s="108">
        <f>Inputs!$B$137</f>
        <v>0.7</v>
      </c>
      <c r="F23" s="108">
        <f>Inputs!$B$138</f>
        <v>0.1</v>
      </c>
      <c r="G23" s="38">
        <f t="shared" si="3"/>
        <v>33009.239999999991</v>
      </c>
      <c r="H23" s="86">
        <f>Inputs!$B$139</f>
        <v>2.2128000000000002E-2</v>
      </c>
      <c r="I23" s="55">
        <f t="shared" si="4"/>
        <v>44.256</v>
      </c>
      <c r="J23" s="57">
        <f>ROUND(I23/((1+Inputs!$B$3)^(A23-2016)),0)</f>
        <v>10</v>
      </c>
    </row>
    <row r="24" spans="1:10" x14ac:dyDescent="0.25">
      <c r="A24" s="70">
        <v>2039</v>
      </c>
      <c r="B24" s="50">
        <f>Inputs!$B$21</f>
        <v>2000</v>
      </c>
      <c r="C24" s="98">
        <f>Inputs!$B$141/12</f>
        <v>3.6774999999999998</v>
      </c>
      <c r="D24" s="38">
        <f t="shared" si="2"/>
        <v>55015.399999999994</v>
      </c>
      <c r="E24" s="108">
        <f>Inputs!$B$137</f>
        <v>0.7</v>
      </c>
      <c r="F24" s="108">
        <f>Inputs!$B$138</f>
        <v>0.1</v>
      </c>
      <c r="G24" s="38">
        <f t="shared" si="3"/>
        <v>33009.239999999991</v>
      </c>
      <c r="H24" s="86">
        <f>Inputs!$B$139</f>
        <v>2.2128000000000002E-2</v>
      </c>
      <c r="I24" s="55">
        <f t="shared" si="4"/>
        <v>44.256</v>
      </c>
      <c r="J24" s="57">
        <f>ROUND(I24/((1+Inputs!$B$3)^(A24-2016)),0)</f>
        <v>9</v>
      </c>
    </row>
    <row r="25" spans="1:10" x14ac:dyDescent="0.25">
      <c r="A25" s="70">
        <v>2040</v>
      </c>
      <c r="B25" s="50">
        <f>Inputs!$B$21</f>
        <v>2000</v>
      </c>
      <c r="C25" s="98">
        <f>Inputs!$B$141/12</f>
        <v>3.6774999999999998</v>
      </c>
      <c r="D25" s="38">
        <f t="shared" si="2"/>
        <v>55015.399999999994</v>
      </c>
      <c r="E25" s="108">
        <f>Inputs!$B$137</f>
        <v>0.7</v>
      </c>
      <c r="F25" s="108">
        <f>Inputs!$B$138</f>
        <v>0.1</v>
      </c>
      <c r="G25" s="38">
        <f t="shared" si="3"/>
        <v>33009.239999999991</v>
      </c>
      <c r="H25" s="86">
        <f>Inputs!$B$139</f>
        <v>2.2128000000000002E-2</v>
      </c>
      <c r="I25" s="55">
        <f t="shared" si="4"/>
        <v>44.256</v>
      </c>
      <c r="J25" s="57">
        <f>ROUND(I25/((1+Inputs!$B$3)^(A25-2016)),0)</f>
        <v>9</v>
      </c>
    </row>
    <row r="26" spans="1:10" x14ac:dyDescent="0.25">
      <c r="A26" s="70">
        <v>2041</v>
      </c>
      <c r="B26" s="50">
        <f>Inputs!$B$21</f>
        <v>2000</v>
      </c>
      <c r="C26" s="98">
        <f>Inputs!$B$141/12</f>
        <v>3.6774999999999998</v>
      </c>
      <c r="D26" s="38">
        <f t="shared" si="2"/>
        <v>55015.399999999994</v>
      </c>
      <c r="E26" s="108">
        <f>Inputs!$B$137</f>
        <v>0.7</v>
      </c>
      <c r="F26" s="108">
        <f>Inputs!$B$138</f>
        <v>0.1</v>
      </c>
      <c r="G26" s="38">
        <f t="shared" si="3"/>
        <v>33009.239999999991</v>
      </c>
      <c r="H26" s="86">
        <f>Inputs!$B$139</f>
        <v>2.2128000000000002E-2</v>
      </c>
      <c r="I26" s="55">
        <f t="shared" si="4"/>
        <v>44.256</v>
      </c>
      <c r="J26" s="57">
        <f>ROUND(I26/((1+Inputs!$B$3)^(A26-2016)),0)</f>
        <v>8</v>
      </c>
    </row>
    <row r="27" spans="1:10" x14ac:dyDescent="0.25">
      <c r="A27" s="70">
        <v>2042</v>
      </c>
      <c r="B27" s="50">
        <f>Inputs!$B$21</f>
        <v>2000</v>
      </c>
      <c r="C27" s="98">
        <f>Inputs!$B$141/12</f>
        <v>3.6774999999999998</v>
      </c>
      <c r="D27" s="38">
        <f t="shared" si="2"/>
        <v>55015.399999999994</v>
      </c>
      <c r="E27" s="108">
        <f>Inputs!$B$137</f>
        <v>0.7</v>
      </c>
      <c r="F27" s="108">
        <f>Inputs!$B$138</f>
        <v>0.1</v>
      </c>
      <c r="G27" s="38">
        <f t="shared" si="3"/>
        <v>33009.239999999991</v>
      </c>
      <c r="H27" s="86">
        <f>Inputs!$B$139</f>
        <v>2.2128000000000002E-2</v>
      </c>
      <c r="I27" s="55">
        <f t="shared" si="4"/>
        <v>44.256</v>
      </c>
      <c r="J27" s="57">
        <f>ROUND(I27/((1+Inputs!$B$3)^(A27-2016)),0)</f>
        <v>8</v>
      </c>
    </row>
    <row r="28" spans="1:10" x14ac:dyDescent="0.25">
      <c r="A28" s="70">
        <v>2043</v>
      </c>
      <c r="B28" s="50">
        <f>Inputs!$B$21</f>
        <v>2000</v>
      </c>
      <c r="C28" s="98">
        <f>Inputs!$B$141/12</f>
        <v>3.6774999999999998</v>
      </c>
      <c r="D28" s="38">
        <f t="shared" si="2"/>
        <v>55015.399999999994</v>
      </c>
      <c r="E28" s="108">
        <f>Inputs!$B$137</f>
        <v>0.7</v>
      </c>
      <c r="F28" s="108">
        <f>Inputs!$B$138</f>
        <v>0.1</v>
      </c>
      <c r="G28" s="38">
        <f t="shared" si="3"/>
        <v>33009.239999999991</v>
      </c>
      <c r="H28" s="86">
        <f>Inputs!$B$139</f>
        <v>2.2128000000000002E-2</v>
      </c>
      <c r="I28" s="55">
        <f t="shared" si="4"/>
        <v>44.256</v>
      </c>
      <c r="J28" s="57">
        <f>ROUND(I28/((1+Inputs!$B$3)^(A28-2016)),0)</f>
        <v>7</v>
      </c>
    </row>
    <row r="29" spans="1:10" x14ac:dyDescent="0.25">
      <c r="A29" s="70">
        <v>2044</v>
      </c>
      <c r="B29" s="50">
        <f>Inputs!$B$21</f>
        <v>2000</v>
      </c>
      <c r="C29" s="98">
        <f>Inputs!$B$141/12</f>
        <v>3.6774999999999998</v>
      </c>
      <c r="D29" s="38">
        <f t="shared" si="2"/>
        <v>55015.399999999994</v>
      </c>
      <c r="E29" s="108">
        <f>Inputs!$B$137</f>
        <v>0.7</v>
      </c>
      <c r="F29" s="108">
        <f>Inputs!$B$138</f>
        <v>0.1</v>
      </c>
      <c r="G29" s="38">
        <f t="shared" si="3"/>
        <v>33009.239999999991</v>
      </c>
      <c r="H29" s="86">
        <f>Inputs!$B$139</f>
        <v>2.2128000000000002E-2</v>
      </c>
      <c r="I29" s="55">
        <f t="shared" si="4"/>
        <v>44.256</v>
      </c>
      <c r="J29" s="57">
        <f>ROUND(I29/((1+Inputs!$B$3)^(A29-2016)),0)</f>
        <v>7</v>
      </c>
    </row>
    <row r="30" spans="1:10" x14ac:dyDescent="0.25">
      <c r="A30" s="70">
        <v>2045</v>
      </c>
      <c r="B30" s="50">
        <f>Inputs!$B$21</f>
        <v>2000</v>
      </c>
      <c r="C30" s="98">
        <f>Inputs!$B$141/12</f>
        <v>3.6774999999999998</v>
      </c>
      <c r="D30" s="38">
        <f t="shared" si="2"/>
        <v>55015.399999999994</v>
      </c>
      <c r="E30" s="108">
        <f>Inputs!$B$137</f>
        <v>0.7</v>
      </c>
      <c r="F30" s="108">
        <f>Inputs!$B$138</f>
        <v>0.1</v>
      </c>
      <c r="G30" s="38">
        <f t="shared" si="3"/>
        <v>33009.239999999991</v>
      </c>
      <c r="H30" s="86">
        <f>Inputs!$B$139</f>
        <v>2.2128000000000002E-2</v>
      </c>
      <c r="I30" s="55">
        <f t="shared" si="4"/>
        <v>44.256</v>
      </c>
      <c r="J30" s="57">
        <f>ROUND(I30/((1+Inputs!$B$3)^(A30-2016)),0)</f>
        <v>6</v>
      </c>
    </row>
    <row r="31" spans="1:10" x14ac:dyDescent="0.25">
      <c r="A31" s="70">
        <v>2046</v>
      </c>
      <c r="B31" s="50">
        <f>Inputs!$B$21</f>
        <v>2000</v>
      </c>
      <c r="C31" s="98">
        <f>Inputs!$B$141/12</f>
        <v>3.6774999999999998</v>
      </c>
      <c r="D31" s="38">
        <f t="shared" si="2"/>
        <v>55015.399999999994</v>
      </c>
      <c r="E31" s="108">
        <f>Inputs!$B$137</f>
        <v>0.7</v>
      </c>
      <c r="F31" s="108">
        <f>Inputs!$B$138</f>
        <v>0.1</v>
      </c>
      <c r="G31" s="38">
        <f t="shared" si="3"/>
        <v>33009.239999999991</v>
      </c>
      <c r="H31" s="86">
        <f>Inputs!$B$139</f>
        <v>2.2128000000000002E-2</v>
      </c>
      <c r="I31" s="55">
        <f t="shared" si="4"/>
        <v>44.256</v>
      </c>
      <c r="J31" s="57">
        <f>ROUND(I31/((1+Inputs!$B$3)^(A31-2016)),0)</f>
        <v>6</v>
      </c>
    </row>
    <row r="32" spans="1:10" x14ac:dyDescent="0.25">
      <c r="A32" s="70">
        <v>2047</v>
      </c>
      <c r="B32" s="50">
        <f>Inputs!$B$21</f>
        <v>2000</v>
      </c>
      <c r="C32" s="98">
        <f>Inputs!$B$141/12</f>
        <v>3.6774999999999998</v>
      </c>
      <c r="D32" s="38">
        <f t="shared" si="2"/>
        <v>55015.399999999994</v>
      </c>
      <c r="E32" s="108">
        <f>Inputs!$B$137</f>
        <v>0.7</v>
      </c>
      <c r="F32" s="108">
        <f>Inputs!$B$138</f>
        <v>0.1</v>
      </c>
      <c r="G32" s="38">
        <f t="shared" si="3"/>
        <v>33009.239999999991</v>
      </c>
      <c r="H32" s="86">
        <f>Inputs!$B$139</f>
        <v>2.2128000000000002E-2</v>
      </c>
      <c r="I32" s="55">
        <f t="shared" si="4"/>
        <v>44.256</v>
      </c>
      <c r="J32" s="57">
        <f>ROUND(I32/((1+Inputs!$B$3)^(A32-2016)),0)</f>
        <v>5</v>
      </c>
    </row>
    <row r="33" spans="1:10" x14ac:dyDescent="0.25">
      <c r="A33" s="70">
        <v>2048</v>
      </c>
      <c r="B33" s="50">
        <f>Inputs!$B$21</f>
        <v>2000</v>
      </c>
      <c r="C33" s="98">
        <f>Inputs!$B$141/12</f>
        <v>3.6774999999999998</v>
      </c>
      <c r="D33" s="38">
        <f t="shared" si="2"/>
        <v>55015.399999999994</v>
      </c>
      <c r="E33" s="108">
        <f>Inputs!$B$137</f>
        <v>0.7</v>
      </c>
      <c r="F33" s="108">
        <f>Inputs!$B$138</f>
        <v>0.1</v>
      </c>
      <c r="G33" s="38">
        <f t="shared" si="3"/>
        <v>33009.239999999991</v>
      </c>
      <c r="H33" s="86">
        <f>Inputs!$B$139</f>
        <v>2.2128000000000002E-2</v>
      </c>
      <c r="I33" s="55">
        <f t="shared" si="4"/>
        <v>44.256</v>
      </c>
      <c r="J33" s="57">
        <f>ROUND(I33/((1+Inputs!$B$3)^(A33-2016)),0)</f>
        <v>5</v>
      </c>
    </row>
    <row r="34" spans="1:10" ht="15.75" thickBot="1" x14ac:dyDescent="0.3">
      <c r="A34" s="70">
        <v>2049</v>
      </c>
      <c r="B34" s="50">
        <f>Inputs!$B$21</f>
        <v>2000</v>
      </c>
      <c r="C34" s="98">
        <f>Inputs!$B$141/12</f>
        <v>3.6774999999999998</v>
      </c>
      <c r="D34" s="38">
        <f t="shared" si="2"/>
        <v>55015.399999999994</v>
      </c>
      <c r="E34" s="108">
        <f>Inputs!$B$137</f>
        <v>0.7</v>
      </c>
      <c r="F34" s="108">
        <f>Inputs!$B$138</f>
        <v>0.1</v>
      </c>
      <c r="G34" s="38">
        <f t="shared" si="3"/>
        <v>33009.239999999991</v>
      </c>
      <c r="H34" s="86">
        <f>Inputs!$B$139</f>
        <v>2.2128000000000002E-2</v>
      </c>
      <c r="I34" s="55">
        <f t="shared" si="4"/>
        <v>44.256</v>
      </c>
      <c r="J34" s="57">
        <f>ROUND(I34/((1+Inputs!$B$3)^(A34-2016)),0)</f>
        <v>5</v>
      </c>
    </row>
    <row r="35" spans="1:10" ht="15.75" thickBot="1" x14ac:dyDescent="0.3">
      <c r="A35" s="75" t="s">
        <v>165</v>
      </c>
      <c r="B35" s="136"/>
      <c r="C35" s="76"/>
      <c r="D35" s="116">
        <f>SUM(D3:D34)</f>
        <v>1760492.7999999991</v>
      </c>
      <c r="E35" s="136"/>
      <c r="F35" s="136"/>
      <c r="G35" s="116">
        <f>SUM(G3:G34)</f>
        <v>990277.19999999972</v>
      </c>
      <c r="H35" s="161"/>
      <c r="I35" s="120">
        <f>SUM(I3:I34)</f>
        <v>1327.68</v>
      </c>
      <c r="J35" s="121">
        <f>SUM(J3:J34)</f>
        <v>448</v>
      </c>
    </row>
    <row r="36" spans="1:10" x14ac:dyDescent="0.25">
      <c r="H36" s="66"/>
    </row>
    <row r="37" spans="1:10" x14ac:dyDescent="0.25">
      <c r="H37" s="66"/>
    </row>
    <row r="38" spans="1:10" x14ac:dyDescent="0.25">
      <c r="G38" s="178"/>
    </row>
    <row r="40" spans="1:10" x14ac:dyDescent="0.25">
      <c r="D40" s="179"/>
    </row>
  </sheetData>
  <sheetProtection password="891C" sheet="1" objects="1" scenarios="1"/>
  <pageMargins left="0.7" right="0.7" top="0.75" bottom="0.75" header="0.3" footer="0.3"/>
  <pageSetup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topLeftCell="A37" zoomScale="80" zoomScaleNormal="80" workbookViewId="0">
      <selection activeCell="E81" sqref="B49:E81"/>
    </sheetView>
  </sheetViews>
  <sheetFormatPr defaultRowHeight="15" x14ac:dyDescent="0.25"/>
  <cols>
    <col min="1" max="1" width="18.42578125" style="10" customWidth="1"/>
    <col min="2" max="2" width="12.7109375" style="10" bestFit="1" customWidth="1"/>
    <col min="3" max="4" width="12.7109375" style="10" customWidth="1"/>
    <col min="5" max="5" width="12.7109375" style="10" bestFit="1" customWidth="1"/>
    <col min="6" max="6" width="11.140625" style="10" customWidth="1"/>
    <col min="7" max="7" width="9.5703125" style="10" bestFit="1" customWidth="1"/>
    <col min="8" max="8" width="12.85546875" style="10" customWidth="1"/>
    <col min="9" max="10" width="11.28515625" style="10" bestFit="1" customWidth="1"/>
    <col min="11" max="11" width="9.5703125" style="10" bestFit="1" customWidth="1"/>
    <col min="12" max="12" width="11" style="10" customWidth="1"/>
    <col min="13" max="13" width="9.5703125" style="10" bestFit="1" customWidth="1"/>
    <col min="14" max="14" width="10.85546875" style="10" customWidth="1"/>
    <col min="15" max="20" width="9.5703125" style="10" bestFit="1" customWidth="1"/>
    <col min="21" max="27" width="9.5703125" style="10" customWidth="1"/>
    <col min="28" max="28" width="11.5703125" style="10" customWidth="1"/>
    <col min="29" max="16384" width="9.140625" style="10"/>
  </cols>
  <sheetData>
    <row r="1" spans="1:28" s="8" customFormat="1" x14ac:dyDescent="0.25">
      <c r="A1" s="692" t="s">
        <v>283</v>
      </c>
      <c r="B1" s="693"/>
      <c r="C1" s="693"/>
      <c r="D1" s="693"/>
      <c r="E1" s="693"/>
      <c r="F1" s="694"/>
      <c r="G1" s="692" t="s">
        <v>268</v>
      </c>
      <c r="H1" s="693"/>
      <c r="I1" s="693"/>
      <c r="J1" s="693"/>
      <c r="K1" s="693"/>
      <c r="L1" s="693"/>
      <c r="M1" s="694"/>
      <c r="N1" s="692" t="s">
        <v>275</v>
      </c>
      <c r="O1" s="693"/>
      <c r="P1" s="693"/>
      <c r="Q1" s="693"/>
      <c r="R1" s="693"/>
      <c r="S1" s="693"/>
      <c r="T1" s="694"/>
      <c r="U1" s="692" t="s">
        <v>287</v>
      </c>
      <c r="V1" s="693"/>
      <c r="W1" s="693"/>
      <c r="X1" s="693"/>
      <c r="Y1" s="693"/>
      <c r="Z1" s="693"/>
      <c r="AA1" s="694"/>
      <c r="AB1" s="714" t="s">
        <v>1</v>
      </c>
    </row>
    <row r="2" spans="1:28" s="8" customFormat="1" ht="30" x14ac:dyDescent="0.25">
      <c r="A2" s="69" t="s">
        <v>132</v>
      </c>
      <c r="B2" s="101" t="s">
        <v>258</v>
      </c>
      <c r="C2" s="101" t="s">
        <v>259</v>
      </c>
      <c r="D2" s="101" t="s">
        <v>281</v>
      </c>
      <c r="E2" s="101" t="s">
        <v>260</v>
      </c>
      <c r="F2" s="72" t="s">
        <v>282</v>
      </c>
      <c r="G2" s="69" t="s">
        <v>261</v>
      </c>
      <c r="H2" s="101" t="s">
        <v>262</v>
      </c>
      <c r="I2" s="101" t="s">
        <v>263</v>
      </c>
      <c r="J2" s="101" t="s">
        <v>264</v>
      </c>
      <c r="K2" s="101" t="s">
        <v>265</v>
      </c>
      <c r="L2" s="101" t="s">
        <v>266</v>
      </c>
      <c r="M2" s="72" t="s">
        <v>267</v>
      </c>
      <c r="N2" s="69" t="s">
        <v>261</v>
      </c>
      <c r="O2" s="101" t="s">
        <v>262</v>
      </c>
      <c r="P2" s="101" t="s">
        <v>263</v>
      </c>
      <c r="Q2" s="101" t="s">
        <v>264</v>
      </c>
      <c r="R2" s="101" t="s">
        <v>265</v>
      </c>
      <c r="S2" s="101" t="s">
        <v>266</v>
      </c>
      <c r="T2" s="72" t="s">
        <v>267</v>
      </c>
      <c r="U2" s="69" t="s">
        <v>261</v>
      </c>
      <c r="V2" s="101" t="s">
        <v>262</v>
      </c>
      <c r="W2" s="101" t="s">
        <v>263</v>
      </c>
      <c r="X2" s="101" t="s">
        <v>264</v>
      </c>
      <c r="Y2" s="101" t="s">
        <v>265</v>
      </c>
      <c r="Z2" s="101" t="s">
        <v>266</v>
      </c>
      <c r="AA2" s="72" t="s">
        <v>267</v>
      </c>
      <c r="AB2" s="715"/>
    </row>
    <row r="3" spans="1:28" x14ac:dyDescent="0.25">
      <c r="A3" s="70">
        <v>2011</v>
      </c>
      <c r="B3" s="50">
        <f>SUM('Reduced Bike and Ped Crashes'!B3,'Reduced Vehicle Crashes'!B3)</f>
        <v>189</v>
      </c>
      <c r="C3" s="50">
        <f>SUM('Reduced Bike and Ped Crashes'!C3,'Reduced Vehicle Crashes'!C3)</f>
        <v>55</v>
      </c>
      <c r="D3" s="50">
        <f>SUM('Reduced Bike and Ped Crashes'!D3,'Reduced Vehicle Crashes'!D3)</f>
        <v>0</v>
      </c>
      <c r="E3" s="50">
        <f>SUM('Reduced Bike and Ped Crashes'!E3,'Reduced Vehicle Crashes'!E3)</f>
        <v>84</v>
      </c>
      <c r="F3" s="230">
        <f>SUM('Reduced Bike and Ped Crashes'!F3,'Reduced Vehicle Crashes'!F3)</f>
        <v>0</v>
      </c>
      <c r="G3" s="82">
        <f t="shared" ref="G3:G7" si="0">C3*0.21538</f>
        <v>11.845899999999999</v>
      </c>
      <c r="H3" s="83">
        <f t="shared" ref="H3:H7" si="1">C3*0.62728</f>
        <v>34.500399999999999</v>
      </c>
      <c r="I3" s="83">
        <f t="shared" ref="I3:I7" si="2">C3*0.104</f>
        <v>5.72</v>
      </c>
      <c r="J3" s="83">
        <f t="shared" ref="J3:J7" si="3">C3*0.03858</f>
        <v>2.1219000000000001</v>
      </c>
      <c r="K3" s="83">
        <f t="shared" ref="K3:K7" si="4">C3*0.00442</f>
        <v>0.24310000000000001</v>
      </c>
      <c r="L3" s="83">
        <f t="shared" ref="L3:L7" si="5">C3*0.01034</f>
        <v>0.56869999999999998</v>
      </c>
      <c r="M3" s="84">
        <v>0</v>
      </c>
      <c r="N3" s="82">
        <f t="shared" ref="N3:N7" si="6">B3*0.92534</f>
        <v>174.88926000000001</v>
      </c>
      <c r="O3" s="83">
        <f t="shared" ref="O3:O7" si="7">B3*0.07257</f>
        <v>13.715729999999999</v>
      </c>
      <c r="P3" s="83">
        <f t="shared" ref="P3:P7" si="8">B3*0.00198</f>
        <v>0.37422</v>
      </c>
      <c r="Q3" s="83">
        <f t="shared" ref="Q3:Q7" si="9">B3*0.00008</f>
        <v>1.5120000000000001E-2</v>
      </c>
      <c r="R3" s="83">
        <f t="shared" ref="R3:R7" si="10">B3*0</f>
        <v>0</v>
      </c>
      <c r="S3" s="83">
        <f t="shared" ref="S3:S7" si="11">B3*0.00003</f>
        <v>5.6700000000000006E-3</v>
      </c>
      <c r="T3" s="84">
        <v>0</v>
      </c>
      <c r="U3" s="82">
        <v>0</v>
      </c>
      <c r="V3" s="83">
        <v>0</v>
      </c>
      <c r="W3" s="83">
        <v>0</v>
      </c>
      <c r="X3" s="83">
        <v>0</v>
      </c>
      <c r="Y3" s="83">
        <v>0</v>
      </c>
      <c r="Z3" s="83">
        <v>0</v>
      </c>
      <c r="AA3" s="84">
        <f t="shared" ref="AA3:AA7" si="12">F3*1</f>
        <v>0</v>
      </c>
      <c r="AB3" s="715"/>
    </row>
    <row r="4" spans="1:28" x14ac:dyDescent="0.25">
      <c r="A4" s="70">
        <f t="shared" ref="A4:A7" si="13">1+A3</f>
        <v>2012</v>
      </c>
      <c r="B4" s="50">
        <f>SUM('Reduced Bike and Ped Crashes'!B4,'Reduced Vehicle Crashes'!B4)</f>
        <v>212</v>
      </c>
      <c r="C4" s="50">
        <f>SUM('Reduced Bike and Ped Crashes'!C4,'Reduced Vehicle Crashes'!C4)</f>
        <v>59</v>
      </c>
      <c r="D4" s="50">
        <f>SUM('Reduced Bike and Ped Crashes'!D4,'Reduced Vehicle Crashes'!D4)</f>
        <v>0</v>
      </c>
      <c r="E4" s="50">
        <f>SUM('Reduced Bike and Ped Crashes'!E4,'Reduced Vehicle Crashes'!E4)</f>
        <v>90</v>
      </c>
      <c r="F4" s="230">
        <f>SUM('Reduced Bike and Ped Crashes'!F4,'Reduced Vehicle Crashes'!F4)</f>
        <v>0</v>
      </c>
      <c r="G4" s="82">
        <f t="shared" si="0"/>
        <v>12.707419999999999</v>
      </c>
      <c r="H4" s="83">
        <f t="shared" si="1"/>
        <v>37.009519999999995</v>
      </c>
      <c r="I4" s="83">
        <f t="shared" si="2"/>
        <v>6.1360000000000001</v>
      </c>
      <c r="J4" s="83">
        <f t="shared" si="3"/>
        <v>2.2762200000000004</v>
      </c>
      <c r="K4" s="83">
        <f t="shared" si="4"/>
        <v>0.26078000000000001</v>
      </c>
      <c r="L4" s="83">
        <f t="shared" si="5"/>
        <v>0.61006000000000005</v>
      </c>
      <c r="M4" s="84">
        <v>0</v>
      </c>
      <c r="N4" s="82">
        <f t="shared" si="6"/>
        <v>196.17208000000002</v>
      </c>
      <c r="O4" s="83">
        <f t="shared" si="7"/>
        <v>15.384839999999999</v>
      </c>
      <c r="P4" s="83">
        <f t="shared" si="8"/>
        <v>0.41976000000000002</v>
      </c>
      <c r="Q4" s="83">
        <f t="shared" si="9"/>
        <v>1.6960000000000003E-2</v>
      </c>
      <c r="R4" s="83">
        <f t="shared" si="10"/>
        <v>0</v>
      </c>
      <c r="S4" s="83">
        <f t="shared" si="11"/>
        <v>6.3600000000000002E-3</v>
      </c>
      <c r="T4" s="84">
        <v>0</v>
      </c>
      <c r="U4" s="82">
        <v>0</v>
      </c>
      <c r="V4" s="83">
        <v>0</v>
      </c>
      <c r="W4" s="83">
        <v>0</v>
      </c>
      <c r="X4" s="83">
        <v>0</v>
      </c>
      <c r="Y4" s="83">
        <v>0</v>
      </c>
      <c r="Z4" s="83">
        <v>0</v>
      </c>
      <c r="AA4" s="84">
        <f t="shared" si="12"/>
        <v>0</v>
      </c>
      <c r="AB4" s="715"/>
    </row>
    <row r="5" spans="1:28" x14ac:dyDescent="0.25">
      <c r="A5" s="70">
        <f t="shared" si="13"/>
        <v>2013</v>
      </c>
      <c r="B5" s="50">
        <f>SUM('Reduced Bike and Ped Crashes'!B5,'Reduced Vehicle Crashes'!B5)</f>
        <v>228</v>
      </c>
      <c r="C5" s="50">
        <f>SUM('Reduced Bike and Ped Crashes'!C5,'Reduced Vehicle Crashes'!C5)</f>
        <v>69</v>
      </c>
      <c r="D5" s="50">
        <f>SUM('Reduced Bike and Ped Crashes'!D5,'Reduced Vehicle Crashes'!D5)</f>
        <v>0</v>
      </c>
      <c r="E5" s="50">
        <f>SUM('Reduced Bike and Ped Crashes'!E5,'Reduced Vehicle Crashes'!E5)</f>
        <v>96</v>
      </c>
      <c r="F5" s="230">
        <f>SUM('Reduced Bike and Ped Crashes'!F5,'Reduced Vehicle Crashes'!F5)</f>
        <v>0</v>
      </c>
      <c r="G5" s="82">
        <f t="shared" si="0"/>
        <v>14.861219999999999</v>
      </c>
      <c r="H5" s="83">
        <f t="shared" si="1"/>
        <v>43.282319999999999</v>
      </c>
      <c r="I5" s="83">
        <f t="shared" si="2"/>
        <v>7.1759999999999993</v>
      </c>
      <c r="J5" s="83">
        <f t="shared" si="3"/>
        <v>2.6620200000000001</v>
      </c>
      <c r="K5" s="83">
        <f t="shared" si="4"/>
        <v>0.30498000000000003</v>
      </c>
      <c r="L5" s="83">
        <f t="shared" si="5"/>
        <v>0.71345999999999998</v>
      </c>
      <c r="M5" s="84">
        <v>0</v>
      </c>
      <c r="N5" s="82">
        <f t="shared" si="6"/>
        <v>210.97752</v>
      </c>
      <c r="O5" s="83">
        <f t="shared" si="7"/>
        <v>16.545959999999997</v>
      </c>
      <c r="P5" s="83">
        <f t="shared" si="8"/>
        <v>0.45144000000000001</v>
      </c>
      <c r="Q5" s="83">
        <f t="shared" si="9"/>
        <v>1.8240000000000003E-2</v>
      </c>
      <c r="R5" s="83">
        <f t="shared" si="10"/>
        <v>0</v>
      </c>
      <c r="S5" s="83">
        <f t="shared" si="11"/>
        <v>6.8400000000000006E-3</v>
      </c>
      <c r="T5" s="84">
        <v>0</v>
      </c>
      <c r="U5" s="82">
        <v>0</v>
      </c>
      <c r="V5" s="83">
        <v>0</v>
      </c>
      <c r="W5" s="83">
        <v>0</v>
      </c>
      <c r="X5" s="83">
        <v>0</v>
      </c>
      <c r="Y5" s="83">
        <v>0</v>
      </c>
      <c r="Z5" s="83">
        <v>0</v>
      </c>
      <c r="AA5" s="84">
        <f t="shared" si="12"/>
        <v>0</v>
      </c>
      <c r="AB5" s="715"/>
    </row>
    <row r="6" spans="1:28" x14ac:dyDescent="0.25">
      <c r="A6" s="70">
        <f t="shared" si="13"/>
        <v>2014</v>
      </c>
      <c r="B6" s="50">
        <f>SUM('Reduced Bike and Ped Crashes'!B6,'Reduced Vehicle Crashes'!B6)</f>
        <v>250</v>
      </c>
      <c r="C6" s="50">
        <f>SUM('Reduced Bike and Ped Crashes'!C6,'Reduced Vehicle Crashes'!C6)</f>
        <v>49</v>
      </c>
      <c r="D6" s="50">
        <f>SUM('Reduced Bike and Ped Crashes'!D6,'Reduced Vehicle Crashes'!D6)</f>
        <v>0</v>
      </c>
      <c r="E6" s="50">
        <f>SUM('Reduced Bike and Ped Crashes'!E6,'Reduced Vehicle Crashes'!E6)</f>
        <v>57</v>
      </c>
      <c r="F6" s="230">
        <f>SUM('Reduced Bike and Ped Crashes'!F6,'Reduced Vehicle Crashes'!F6)</f>
        <v>0</v>
      </c>
      <c r="G6" s="82">
        <f t="shared" si="0"/>
        <v>10.553619999999999</v>
      </c>
      <c r="H6" s="83">
        <f t="shared" si="1"/>
        <v>30.736719999999998</v>
      </c>
      <c r="I6" s="83">
        <f t="shared" si="2"/>
        <v>5.0960000000000001</v>
      </c>
      <c r="J6" s="83">
        <f t="shared" si="3"/>
        <v>1.8904200000000002</v>
      </c>
      <c r="K6" s="83">
        <f t="shared" si="4"/>
        <v>0.21658000000000002</v>
      </c>
      <c r="L6" s="83">
        <f t="shared" si="5"/>
        <v>0.50666</v>
      </c>
      <c r="M6" s="84">
        <v>0</v>
      </c>
      <c r="N6" s="82">
        <f t="shared" si="6"/>
        <v>231.33500000000001</v>
      </c>
      <c r="O6" s="83">
        <f t="shared" si="7"/>
        <v>18.142499999999998</v>
      </c>
      <c r="P6" s="83">
        <f t="shared" si="8"/>
        <v>0.495</v>
      </c>
      <c r="Q6" s="83">
        <f t="shared" si="9"/>
        <v>0.02</v>
      </c>
      <c r="R6" s="83">
        <f t="shared" si="10"/>
        <v>0</v>
      </c>
      <c r="S6" s="83">
        <f t="shared" si="11"/>
        <v>7.5000000000000006E-3</v>
      </c>
      <c r="T6" s="84">
        <v>0</v>
      </c>
      <c r="U6" s="82">
        <v>0</v>
      </c>
      <c r="V6" s="83">
        <v>0</v>
      </c>
      <c r="W6" s="83">
        <v>0</v>
      </c>
      <c r="X6" s="83">
        <v>0</v>
      </c>
      <c r="Y6" s="83">
        <v>0</v>
      </c>
      <c r="Z6" s="83">
        <v>0</v>
      </c>
      <c r="AA6" s="84">
        <f t="shared" si="12"/>
        <v>0</v>
      </c>
      <c r="AB6" s="715"/>
    </row>
    <row r="7" spans="1:28" x14ac:dyDescent="0.25">
      <c r="A7" s="70">
        <f t="shared" si="13"/>
        <v>2015</v>
      </c>
      <c r="B7" s="50">
        <f>SUM('Reduced Bike and Ped Crashes'!B7,'Reduced Vehicle Crashes'!B7)</f>
        <v>270</v>
      </c>
      <c r="C7" s="50">
        <f>SUM('Reduced Bike and Ped Crashes'!C7,'Reduced Vehicle Crashes'!C7)</f>
        <v>67</v>
      </c>
      <c r="D7" s="50">
        <f>SUM('Reduced Bike and Ped Crashes'!D7,'Reduced Vehicle Crashes'!D7)</f>
        <v>0</v>
      </c>
      <c r="E7" s="50">
        <f>SUM('Reduced Bike and Ped Crashes'!E7,'Reduced Vehicle Crashes'!E7)</f>
        <v>109</v>
      </c>
      <c r="F7" s="230">
        <f>SUM('Reduced Bike and Ped Crashes'!F7,'Reduced Vehicle Crashes'!F7)</f>
        <v>0</v>
      </c>
      <c r="G7" s="82">
        <f t="shared" si="0"/>
        <v>14.43046</v>
      </c>
      <c r="H7" s="83">
        <f t="shared" si="1"/>
        <v>42.027759999999994</v>
      </c>
      <c r="I7" s="83">
        <f t="shared" si="2"/>
        <v>6.968</v>
      </c>
      <c r="J7" s="83">
        <f t="shared" si="3"/>
        <v>2.5848600000000004</v>
      </c>
      <c r="K7" s="83">
        <f t="shared" si="4"/>
        <v>0.29614000000000001</v>
      </c>
      <c r="L7" s="83">
        <f t="shared" si="5"/>
        <v>0.69278000000000006</v>
      </c>
      <c r="M7" s="84">
        <v>0</v>
      </c>
      <c r="N7" s="82">
        <f t="shared" si="6"/>
        <v>249.84180000000001</v>
      </c>
      <c r="O7" s="83">
        <f t="shared" si="7"/>
        <v>19.593899999999998</v>
      </c>
      <c r="P7" s="83">
        <f t="shared" si="8"/>
        <v>0.53459999999999996</v>
      </c>
      <c r="Q7" s="83">
        <f t="shared" si="9"/>
        <v>2.1600000000000001E-2</v>
      </c>
      <c r="R7" s="83">
        <f t="shared" si="10"/>
        <v>0</v>
      </c>
      <c r="S7" s="83">
        <f t="shared" si="11"/>
        <v>8.0999999999999996E-3</v>
      </c>
      <c r="T7" s="84">
        <v>0</v>
      </c>
      <c r="U7" s="82">
        <v>0</v>
      </c>
      <c r="V7" s="83">
        <v>0</v>
      </c>
      <c r="W7" s="83">
        <v>0</v>
      </c>
      <c r="X7" s="83">
        <v>0</v>
      </c>
      <c r="Y7" s="83">
        <v>0</v>
      </c>
      <c r="Z7" s="83">
        <v>0</v>
      </c>
      <c r="AA7" s="84">
        <f t="shared" si="12"/>
        <v>0</v>
      </c>
      <c r="AB7" s="715"/>
    </row>
    <row r="8" spans="1:28" s="65" customFormat="1" x14ac:dyDescent="0.25">
      <c r="A8" s="71" t="s">
        <v>165</v>
      </c>
      <c r="B8" s="274">
        <f t="shared" ref="B8:AA8" si="14">SUM(B3:B7)</f>
        <v>1149</v>
      </c>
      <c r="C8" s="274">
        <f t="shared" si="14"/>
        <v>299</v>
      </c>
      <c r="D8" s="274">
        <f t="shared" si="14"/>
        <v>0</v>
      </c>
      <c r="E8" s="274">
        <f t="shared" si="14"/>
        <v>436</v>
      </c>
      <c r="F8" s="275">
        <f t="shared" si="14"/>
        <v>0</v>
      </c>
      <c r="G8" s="211">
        <f>SUM(G3:G7)</f>
        <v>64.398619999999994</v>
      </c>
      <c r="H8" s="212">
        <f t="shared" si="14"/>
        <v>187.55671999999998</v>
      </c>
      <c r="I8" s="212">
        <f t="shared" si="14"/>
        <v>31.096</v>
      </c>
      <c r="J8" s="212">
        <f t="shared" si="14"/>
        <v>11.535420000000002</v>
      </c>
      <c r="K8" s="212">
        <f t="shared" si="14"/>
        <v>1.3215800000000002</v>
      </c>
      <c r="L8" s="212">
        <f t="shared" si="14"/>
        <v>3.0916600000000001</v>
      </c>
      <c r="M8" s="213">
        <f t="shared" si="14"/>
        <v>0</v>
      </c>
      <c r="N8" s="211">
        <f t="shared" si="14"/>
        <v>1063.2156600000001</v>
      </c>
      <c r="O8" s="212">
        <f t="shared" si="14"/>
        <v>83.382929999999988</v>
      </c>
      <c r="P8" s="212">
        <f t="shared" si="14"/>
        <v>2.2750199999999996</v>
      </c>
      <c r="Q8" s="212">
        <f t="shared" si="14"/>
        <v>9.1920000000000002E-2</v>
      </c>
      <c r="R8" s="212">
        <f t="shared" si="14"/>
        <v>0</v>
      </c>
      <c r="S8" s="212">
        <f t="shared" si="14"/>
        <v>3.4470000000000001E-2</v>
      </c>
      <c r="T8" s="213">
        <f t="shared" si="14"/>
        <v>0</v>
      </c>
      <c r="U8" s="211">
        <f t="shared" si="14"/>
        <v>0</v>
      </c>
      <c r="V8" s="212">
        <f t="shared" si="14"/>
        <v>0</v>
      </c>
      <c r="W8" s="212">
        <f t="shared" si="14"/>
        <v>0</v>
      </c>
      <c r="X8" s="212">
        <f t="shared" si="14"/>
        <v>0</v>
      </c>
      <c r="Y8" s="212">
        <f t="shared" si="14"/>
        <v>0</v>
      </c>
      <c r="Z8" s="212">
        <f t="shared" si="14"/>
        <v>0</v>
      </c>
      <c r="AA8" s="213">
        <f t="shared" si="14"/>
        <v>0</v>
      </c>
      <c r="AB8" s="715"/>
    </row>
    <row r="9" spans="1:28" s="65" customFormat="1" ht="15.75" thickBot="1" x14ac:dyDescent="0.3">
      <c r="A9" s="227" t="s">
        <v>279</v>
      </c>
      <c r="B9" s="228">
        <f>ROUND((B8/5),1)</f>
        <v>229.8</v>
      </c>
      <c r="C9" s="228">
        <f t="shared" ref="C9:F9" si="15">ROUND((C8/5),1)</f>
        <v>59.8</v>
      </c>
      <c r="D9" s="228">
        <f t="shared" si="15"/>
        <v>0</v>
      </c>
      <c r="E9" s="228">
        <f t="shared" si="15"/>
        <v>87.2</v>
      </c>
      <c r="F9" s="229">
        <f t="shared" si="15"/>
        <v>0</v>
      </c>
      <c r="G9" s="217">
        <f>G8/5</f>
        <v>12.879724</v>
      </c>
      <c r="H9" s="218">
        <f t="shared" ref="H9:AA9" si="16">H8/5</f>
        <v>37.511343999999994</v>
      </c>
      <c r="I9" s="218">
        <f t="shared" si="16"/>
        <v>6.2191999999999998</v>
      </c>
      <c r="J9" s="218">
        <f t="shared" si="16"/>
        <v>2.3070840000000006</v>
      </c>
      <c r="K9" s="218">
        <f t="shared" si="16"/>
        <v>0.26431600000000005</v>
      </c>
      <c r="L9" s="218">
        <f t="shared" si="16"/>
        <v>0.61833199999999999</v>
      </c>
      <c r="M9" s="219">
        <f t="shared" si="16"/>
        <v>0</v>
      </c>
      <c r="N9" s="217">
        <f t="shared" si="16"/>
        <v>212.64313200000001</v>
      </c>
      <c r="O9" s="218">
        <f t="shared" si="16"/>
        <v>16.676585999999997</v>
      </c>
      <c r="P9" s="218">
        <f t="shared" si="16"/>
        <v>0.45500399999999991</v>
      </c>
      <c r="Q9" s="218">
        <f t="shared" si="16"/>
        <v>1.8384000000000001E-2</v>
      </c>
      <c r="R9" s="218">
        <f t="shared" si="16"/>
        <v>0</v>
      </c>
      <c r="S9" s="218">
        <f t="shared" si="16"/>
        <v>6.894E-3</v>
      </c>
      <c r="T9" s="219">
        <f t="shared" si="16"/>
        <v>0</v>
      </c>
      <c r="U9" s="217">
        <f t="shared" si="16"/>
        <v>0</v>
      </c>
      <c r="V9" s="218">
        <f t="shared" si="16"/>
        <v>0</v>
      </c>
      <c r="W9" s="218">
        <f t="shared" si="16"/>
        <v>0</v>
      </c>
      <c r="X9" s="218">
        <f t="shared" si="16"/>
        <v>0</v>
      </c>
      <c r="Y9" s="218">
        <f t="shared" si="16"/>
        <v>0</v>
      </c>
      <c r="Z9" s="218">
        <f t="shared" si="16"/>
        <v>0</v>
      </c>
      <c r="AA9" s="219">
        <f t="shared" si="16"/>
        <v>0</v>
      </c>
      <c r="AB9" s="715"/>
    </row>
    <row r="10" spans="1:28" s="65" customFormat="1" ht="15.75" thickBot="1" x14ac:dyDescent="0.3">
      <c r="A10" s="224" t="s">
        <v>280</v>
      </c>
      <c r="B10" s="225"/>
      <c r="C10" s="225"/>
      <c r="D10" s="215"/>
      <c r="E10" s="225"/>
      <c r="F10" s="226"/>
      <c r="G10" s="214">
        <f>G9*Inputs!$B$153</f>
        <v>54130.085303213964</v>
      </c>
      <c r="H10" s="215">
        <f>H9*Inputs!$B$154</f>
        <v>1081545.596001016</v>
      </c>
      <c r="I10" s="215">
        <f>I9*Inputs!$B$155</f>
        <v>2809269.0522323716</v>
      </c>
      <c r="J10" s="215">
        <f>J9*Inputs!$B$156</f>
        <v>2328164.4852062436</v>
      </c>
      <c r="K10" s="215">
        <f>K9*Inputs!$B$157</f>
        <v>675718.86458482908</v>
      </c>
      <c r="L10" s="215">
        <f>L9*Inputs!$B$158</f>
        <v>3524011.9284061077</v>
      </c>
      <c r="M10" s="216">
        <f>M9*Inputs!$B$159</f>
        <v>0</v>
      </c>
      <c r="N10" s="214">
        <f>N9*Inputs!$B$153</f>
        <v>893683.0381072287</v>
      </c>
      <c r="O10" s="215">
        <f>O9*Inputs!$B$154</f>
        <v>480827.56364667171</v>
      </c>
      <c r="P10" s="215">
        <f>P9*Inputs!$B$155</f>
        <v>205529.43398539006</v>
      </c>
      <c r="Q10" s="215">
        <f>Q9*Inputs!$B$156</f>
        <v>18551.979856837275</v>
      </c>
      <c r="R10" s="215">
        <f>R9*Inputs!$B$157</f>
        <v>0</v>
      </c>
      <c r="S10" s="215">
        <f>S9*Inputs!$B$158</f>
        <v>39290.443053944655</v>
      </c>
      <c r="T10" s="216">
        <f>T9*Inputs!$B$159</f>
        <v>0</v>
      </c>
      <c r="U10" s="214">
        <f>U9*Inputs!$B$153</f>
        <v>0</v>
      </c>
      <c r="V10" s="215">
        <f>V9*Inputs!$B$154</f>
        <v>0</v>
      </c>
      <c r="W10" s="215">
        <f>W9*Inputs!$B$155</f>
        <v>0</v>
      </c>
      <c r="X10" s="215">
        <f>X9*Inputs!$B$156</f>
        <v>0</v>
      </c>
      <c r="Y10" s="215">
        <f>Y9*Inputs!$B$157</f>
        <v>0</v>
      </c>
      <c r="Z10" s="215">
        <f>Z9*Inputs!$B$158</f>
        <v>0</v>
      </c>
      <c r="AA10" s="216">
        <f>AA9*Inputs!$B$159</f>
        <v>0</v>
      </c>
      <c r="AB10" s="80">
        <f>SUM(G10:AA10)</f>
        <v>12110722.470383855</v>
      </c>
    </row>
    <row r="11" spans="1:28" ht="15.75" thickBot="1" x14ac:dyDescent="0.3"/>
    <row r="12" spans="1:28" ht="30" x14ac:dyDescent="0.25">
      <c r="A12" s="594" t="s">
        <v>132</v>
      </c>
      <c r="B12" s="115" t="s">
        <v>276</v>
      </c>
      <c r="C12" s="115" t="s">
        <v>286</v>
      </c>
      <c r="D12" s="152" t="s">
        <v>277</v>
      </c>
      <c r="E12" s="141" t="s">
        <v>278</v>
      </c>
      <c r="F12" s="8"/>
    </row>
    <row r="13" spans="1:28" x14ac:dyDescent="0.25">
      <c r="A13" s="41">
        <v>2018</v>
      </c>
      <c r="B13" s="87">
        <f t="shared" ref="B13:B44" si="17">$AB$10</f>
        <v>12110722.470383855</v>
      </c>
      <c r="C13" s="87">
        <f>B13</f>
        <v>12110722.470383855</v>
      </c>
      <c r="D13" s="113">
        <f>B13-C13</f>
        <v>0</v>
      </c>
      <c r="E13" s="124">
        <f>ROUND(D13/((1+Inputs!$B$3)^(A13-2016)),0)</f>
        <v>0</v>
      </c>
      <c r="F13" s="66"/>
    </row>
    <row r="14" spans="1:28" x14ac:dyDescent="0.25">
      <c r="A14" s="41">
        <v>2019</v>
      </c>
      <c r="B14" s="87">
        <f t="shared" si="17"/>
        <v>12110722.470383855</v>
      </c>
      <c r="C14" s="87">
        <f>B14</f>
        <v>12110722.470383855</v>
      </c>
      <c r="D14" s="113">
        <f t="shared" ref="D14:D44" si="18">B14-C14</f>
        <v>0</v>
      </c>
      <c r="E14" s="124">
        <f>ROUND(D14/((1+Inputs!$B$3)^(A14-2016)),0)</f>
        <v>0</v>
      </c>
      <c r="F14" s="66"/>
      <c r="J14" s="9"/>
      <c r="K14" s="9"/>
      <c r="L14" s="9"/>
      <c r="M14" s="9"/>
      <c r="N14" s="9"/>
      <c r="O14" s="9"/>
      <c r="P14" s="9"/>
    </row>
    <row r="15" spans="1:28" x14ac:dyDescent="0.25">
      <c r="A15" s="41">
        <v>2020</v>
      </c>
      <c r="B15" s="87">
        <f t="shared" si="17"/>
        <v>12110722.470383855</v>
      </c>
      <c r="C15" s="87">
        <f>B15*(1-Inputs!$B$164)</f>
        <v>7266433.4822303122</v>
      </c>
      <c r="D15" s="113">
        <f t="shared" si="18"/>
        <v>4844288.9881535424</v>
      </c>
      <c r="E15" s="124">
        <f>ROUND(D15/((1+Inputs!$B$3)^(A15-2016)),0)</f>
        <v>3695685</v>
      </c>
      <c r="F15" s="66"/>
    </row>
    <row r="16" spans="1:28" x14ac:dyDescent="0.25">
      <c r="A16" s="41">
        <v>2021</v>
      </c>
      <c r="B16" s="87">
        <f t="shared" si="17"/>
        <v>12110722.470383855</v>
      </c>
      <c r="C16" s="87">
        <f>B16*(1-Inputs!$B$164)</f>
        <v>7266433.4822303122</v>
      </c>
      <c r="D16" s="113">
        <f t="shared" si="18"/>
        <v>4844288.9881535424</v>
      </c>
      <c r="E16" s="124">
        <f>ROUND(D16/((1+Inputs!$B$3)^(A16-2016)),0)</f>
        <v>3453911</v>
      </c>
      <c r="F16" s="66"/>
      <c r="I16" s="9"/>
    </row>
    <row r="17" spans="1:6" x14ac:dyDescent="0.25">
      <c r="A17" s="41">
        <v>2022</v>
      </c>
      <c r="B17" s="87">
        <f t="shared" si="17"/>
        <v>12110722.470383855</v>
      </c>
      <c r="C17" s="87">
        <f>B17*(1-Inputs!$B$164)</f>
        <v>7266433.4822303122</v>
      </c>
      <c r="D17" s="113">
        <f t="shared" si="18"/>
        <v>4844288.9881535424</v>
      </c>
      <c r="E17" s="124">
        <f>ROUND(D17/((1+Inputs!$B$3)^(A17-2016)),0)</f>
        <v>3227954</v>
      </c>
      <c r="F17" s="66"/>
    </row>
    <row r="18" spans="1:6" x14ac:dyDescent="0.25">
      <c r="A18" s="41">
        <v>2023</v>
      </c>
      <c r="B18" s="87">
        <f t="shared" si="17"/>
        <v>12110722.470383855</v>
      </c>
      <c r="C18" s="87">
        <f>B18*(1-Inputs!$B$164)</f>
        <v>7266433.4822303122</v>
      </c>
      <c r="D18" s="113">
        <f t="shared" si="18"/>
        <v>4844288.9881535424</v>
      </c>
      <c r="E18" s="124">
        <f>ROUND(D18/((1+Inputs!$B$3)^(A18-2016)),0)</f>
        <v>3016780</v>
      </c>
      <c r="F18" s="66"/>
    </row>
    <row r="19" spans="1:6" x14ac:dyDescent="0.25">
      <c r="A19" s="41">
        <v>2024</v>
      </c>
      <c r="B19" s="87">
        <f t="shared" si="17"/>
        <v>12110722.470383855</v>
      </c>
      <c r="C19" s="87">
        <f>B19*(1-Inputs!$B$164)</f>
        <v>7266433.4822303122</v>
      </c>
      <c r="D19" s="113">
        <f t="shared" si="18"/>
        <v>4844288.9881535424</v>
      </c>
      <c r="E19" s="124">
        <f>ROUND(D19/((1+Inputs!$B$3)^(A19-2016)),0)</f>
        <v>2819420</v>
      </c>
      <c r="F19" s="66"/>
    </row>
    <row r="20" spans="1:6" x14ac:dyDescent="0.25">
      <c r="A20" s="41">
        <v>2025</v>
      </c>
      <c r="B20" s="87">
        <f t="shared" si="17"/>
        <v>12110722.470383855</v>
      </c>
      <c r="C20" s="87">
        <f>B20*(1-Inputs!$B$164)</f>
        <v>7266433.4822303122</v>
      </c>
      <c r="D20" s="113">
        <f t="shared" si="18"/>
        <v>4844288.9881535424</v>
      </c>
      <c r="E20" s="124">
        <f>ROUND(D20/((1+Inputs!$B$3)^(A20-2016)),0)</f>
        <v>2634972</v>
      </c>
      <c r="F20" s="66"/>
    </row>
    <row r="21" spans="1:6" x14ac:dyDescent="0.25">
      <c r="A21" s="41">
        <v>2026</v>
      </c>
      <c r="B21" s="87">
        <f t="shared" si="17"/>
        <v>12110722.470383855</v>
      </c>
      <c r="C21" s="87">
        <f>B21*(1-Inputs!$B$164)</f>
        <v>7266433.4822303122</v>
      </c>
      <c r="D21" s="113">
        <f t="shared" si="18"/>
        <v>4844288.9881535424</v>
      </c>
      <c r="E21" s="124">
        <f>ROUND(D21/((1+Inputs!$B$3)^(A21-2016)),0)</f>
        <v>2462591</v>
      </c>
      <c r="F21" s="66"/>
    </row>
    <row r="22" spans="1:6" x14ac:dyDescent="0.25">
      <c r="A22" s="41">
        <v>2027</v>
      </c>
      <c r="B22" s="87">
        <f t="shared" si="17"/>
        <v>12110722.470383855</v>
      </c>
      <c r="C22" s="87">
        <f>B22*(1-Inputs!$B$164)</f>
        <v>7266433.4822303122</v>
      </c>
      <c r="D22" s="113">
        <f t="shared" si="18"/>
        <v>4844288.9881535424</v>
      </c>
      <c r="E22" s="124">
        <f>ROUND(D22/((1+Inputs!$B$3)^(A22-2016)),0)</f>
        <v>2301487</v>
      </c>
      <c r="F22" s="66"/>
    </row>
    <row r="23" spans="1:6" x14ac:dyDescent="0.25">
      <c r="A23" s="41">
        <v>2028</v>
      </c>
      <c r="B23" s="87">
        <f t="shared" si="17"/>
        <v>12110722.470383855</v>
      </c>
      <c r="C23" s="87">
        <f>B23*(1-Inputs!$B$164)</f>
        <v>7266433.4822303122</v>
      </c>
      <c r="D23" s="113">
        <f t="shared" si="18"/>
        <v>4844288.9881535424</v>
      </c>
      <c r="E23" s="124">
        <f>ROUND(D23/((1+Inputs!$B$3)^(A23-2016)),0)</f>
        <v>2150922</v>
      </c>
      <c r="F23" s="66"/>
    </row>
    <row r="24" spans="1:6" x14ac:dyDescent="0.25">
      <c r="A24" s="41">
        <v>2029</v>
      </c>
      <c r="B24" s="87">
        <f t="shared" si="17"/>
        <v>12110722.470383855</v>
      </c>
      <c r="C24" s="87">
        <f>B24*(1-Inputs!$B$164)</f>
        <v>7266433.4822303122</v>
      </c>
      <c r="D24" s="113">
        <f t="shared" si="18"/>
        <v>4844288.9881535424</v>
      </c>
      <c r="E24" s="124">
        <f>ROUND(D24/((1+Inputs!$B$3)^(A24-2016)),0)</f>
        <v>2010208</v>
      </c>
      <c r="F24" s="66"/>
    </row>
    <row r="25" spans="1:6" x14ac:dyDescent="0.25">
      <c r="A25" s="41">
        <v>2030</v>
      </c>
      <c r="B25" s="87">
        <f t="shared" si="17"/>
        <v>12110722.470383855</v>
      </c>
      <c r="C25" s="87">
        <f>B25*(1-Inputs!$B$164)</f>
        <v>7266433.4822303122</v>
      </c>
      <c r="D25" s="113">
        <f t="shared" si="18"/>
        <v>4844288.9881535424</v>
      </c>
      <c r="E25" s="124">
        <f>ROUND(D25/((1+Inputs!$B$3)^(A25-2016)),0)</f>
        <v>1878699</v>
      </c>
      <c r="F25" s="66"/>
    </row>
    <row r="26" spans="1:6" x14ac:dyDescent="0.25">
      <c r="A26" s="41">
        <v>2031</v>
      </c>
      <c r="B26" s="87">
        <f t="shared" si="17"/>
        <v>12110722.470383855</v>
      </c>
      <c r="C26" s="87">
        <f>B26*(1-Inputs!$B$164)</f>
        <v>7266433.4822303122</v>
      </c>
      <c r="D26" s="113">
        <f t="shared" si="18"/>
        <v>4844288.9881535424</v>
      </c>
      <c r="E26" s="124">
        <f>ROUND(D26/((1+Inputs!$B$3)^(A26-2016)),0)</f>
        <v>1755793</v>
      </c>
      <c r="F26" s="66"/>
    </row>
    <row r="27" spans="1:6" x14ac:dyDescent="0.25">
      <c r="A27" s="41">
        <v>2032</v>
      </c>
      <c r="B27" s="87">
        <f t="shared" si="17"/>
        <v>12110722.470383855</v>
      </c>
      <c r="C27" s="87">
        <f>B27*(1-Inputs!$B$164)</f>
        <v>7266433.4822303122</v>
      </c>
      <c r="D27" s="113">
        <f t="shared" si="18"/>
        <v>4844288.9881535424</v>
      </c>
      <c r="E27" s="124">
        <f>ROUND(D27/((1+Inputs!$B$3)^(A27-2016)),0)</f>
        <v>1640928</v>
      </c>
      <c r="F27" s="66"/>
    </row>
    <row r="28" spans="1:6" x14ac:dyDescent="0.25">
      <c r="A28" s="41">
        <v>2033</v>
      </c>
      <c r="B28" s="87">
        <f t="shared" si="17"/>
        <v>12110722.470383855</v>
      </c>
      <c r="C28" s="87">
        <f>B28*(1-Inputs!$B$164)</f>
        <v>7266433.4822303122</v>
      </c>
      <c r="D28" s="113">
        <f t="shared" si="18"/>
        <v>4844288.9881535424</v>
      </c>
      <c r="E28" s="124">
        <f>ROUND(D28/((1+Inputs!$B$3)^(A28-2016)),0)</f>
        <v>1533578</v>
      </c>
      <c r="F28" s="66"/>
    </row>
    <row r="29" spans="1:6" x14ac:dyDescent="0.25">
      <c r="A29" s="41">
        <v>2034</v>
      </c>
      <c r="B29" s="87">
        <f t="shared" si="17"/>
        <v>12110722.470383855</v>
      </c>
      <c r="C29" s="87">
        <f>B29*(1-Inputs!$B$164)</f>
        <v>7266433.4822303122</v>
      </c>
      <c r="D29" s="113">
        <f t="shared" si="18"/>
        <v>4844288.9881535424</v>
      </c>
      <c r="E29" s="124">
        <f>ROUND(D29/((1+Inputs!$B$3)^(A29-2016)),0)</f>
        <v>1433250</v>
      </c>
      <c r="F29" s="66"/>
    </row>
    <row r="30" spans="1:6" x14ac:dyDescent="0.25">
      <c r="A30" s="41">
        <v>2035</v>
      </c>
      <c r="B30" s="87">
        <f t="shared" si="17"/>
        <v>12110722.470383855</v>
      </c>
      <c r="C30" s="87">
        <f>B30*(1-Inputs!$B$164)</f>
        <v>7266433.4822303122</v>
      </c>
      <c r="D30" s="113">
        <f t="shared" si="18"/>
        <v>4844288.9881535424</v>
      </c>
      <c r="E30" s="124">
        <f>ROUND(D30/((1+Inputs!$B$3)^(A30-2016)),0)</f>
        <v>1339486</v>
      </c>
      <c r="F30" s="66"/>
    </row>
    <row r="31" spans="1:6" x14ac:dyDescent="0.25">
      <c r="A31" s="41">
        <v>2036</v>
      </c>
      <c r="B31" s="87">
        <f t="shared" si="17"/>
        <v>12110722.470383855</v>
      </c>
      <c r="C31" s="87">
        <f>B31*(1-Inputs!$B$164)</f>
        <v>7266433.4822303122</v>
      </c>
      <c r="D31" s="113">
        <f t="shared" si="18"/>
        <v>4844288.9881535424</v>
      </c>
      <c r="E31" s="124">
        <f>ROUND(D31/((1+Inputs!$B$3)^(A31-2016)),0)</f>
        <v>1251856</v>
      </c>
      <c r="F31" s="66"/>
    </row>
    <row r="32" spans="1:6" x14ac:dyDescent="0.25">
      <c r="A32" s="41">
        <v>2037</v>
      </c>
      <c r="B32" s="87">
        <f t="shared" si="17"/>
        <v>12110722.470383855</v>
      </c>
      <c r="C32" s="87">
        <f>B32*(1-Inputs!$B$164)</f>
        <v>7266433.4822303122</v>
      </c>
      <c r="D32" s="113">
        <f t="shared" si="18"/>
        <v>4844288.9881535424</v>
      </c>
      <c r="E32" s="124">
        <f>ROUND(D32/((1+Inputs!$B$3)^(A32-2016)),0)</f>
        <v>1169959</v>
      </c>
      <c r="F32" s="66"/>
    </row>
    <row r="33" spans="1:6" x14ac:dyDescent="0.25">
      <c r="A33" s="41">
        <v>2038</v>
      </c>
      <c r="B33" s="87">
        <f t="shared" si="17"/>
        <v>12110722.470383855</v>
      </c>
      <c r="C33" s="87">
        <f>B33*(1-Inputs!$B$164)</f>
        <v>7266433.4822303122</v>
      </c>
      <c r="D33" s="113">
        <f t="shared" si="18"/>
        <v>4844288.9881535424</v>
      </c>
      <c r="E33" s="124">
        <f>ROUND(D33/((1+Inputs!$B$3)^(A33-2016)),0)</f>
        <v>1093420</v>
      </c>
      <c r="F33" s="66"/>
    </row>
    <row r="34" spans="1:6" x14ac:dyDescent="0.25">
      <c r="A34" s="41">
        <v>2039</v>
      </c>
      <c r="B34" s="87">
        <f t="shared" si="17"/>
        <v>12110722.470383855</v>
      </c>
      <c r="C34" s="87">
        <f>B34*(1-Inputs!$B$164)</f>
        <v>7266433.4822303122</v>
      </c>
      <c r="D34" s="113">
        <f t="shared" si="18"/>
        <v>4844288.9881535424</v>
      </c>
      <c r="E34" s="124">
        <f>ROUND(D34/((1+Inputs!$B$3)^(A34-2016)),0)</f>
        <v>1021888</v>
      </c>
      <c r="F34" s="66"/>
    </row>
    <row r="35" spans="1:6" x14ac:dyDescent="0.25">
      <c r="A35" s="41">
        <v>2040</v>
      </c>
      <c r="B35" s="87">
        <f t="shared" si="17"/>
        <v>12110722.470383855</v>
      </c>
      <c r="C35" s="87">
        <f>B35*(1-Inputs!$B$164)</f>
        <v>7266433.4822303122</v>
      </c>
      <c r="D35" s="113">
        <f t="shared" si="18"/>
        <v>4844288.9881535424</v>
      </c>
      <c r="E35" s="124">
        <f>ROUND(D35/((1+Inputs!$B$3)^(A35-2016)),0)</f>
        <v>955035</v>
      </c>
      <c r="F35" s="66"/>
    </row>
    <row r="36" spans="1:6" ht="15" customHeight="1" x14ac:dyDescent="0.25">
      <c r="A36" s="41">
        <v>2041</v>
      </c>
      <c r="B36" s="87">
        <f t="shared" si="17"/>
        <v>12110722.470383855</v>
      </c>
      <c r="C36" s="87">
        <f>B36*(1-Inputs!$B$164)</f>
        <v>7266433.4822303122</v>
      </c>
      <c r="D36" s="113">
        <f t="shared" si="18"/>
        <v>4844288.9881535424</v>
      </c>
      <c r="E36" s="124">
        <f>ROUND(D36/((1+Inputs!$B$3)^(A36-2016)),0)</f>
        <v>892556</v>
      </c>
      <c r="F36" s="66"/>
    </row>
    <row r="37" spans="1:6" ht="15" customHeight="1" x14ac:dyDescent="0.25">
      <c r="A37" s="41">
        <v>2042</v>
      </c>
      <c r="B37" s="87">
        <f t="shared" si="17"/>
        <v>12110722.470383855</v>
      </c>
      <c r="C37" s="87">
        <f>B37*(1-Inputs!$B$164)</f>
        <v>7266433.4822303122</v>
      </c>
      <c r="D37" s="113">
        <f t="shared" si="18"/>
        <v>4844288.9881535424</v>
      </c>
      <c r="E37" s="124">
        <f>ROUND(D37/((1+Inputs!$B$3)^(A37-2016)),0)</f>
        <v>834165</v>
      </c>
      <c r="F37" s="66"/>
    </row>
    <row r="38" spans="1:6" ht="15" customHeight="1" x14ac:dyDescent="0.25">
      <c r="A38" s="41">
        <v>2043</v>
      </c>
      <c r="B38" s="87">
        <f t="shared" si="17"/>
        <v>12110722.470383855</v>
      </c>
      <c r="C38" s="87">
        <f>B38*(1-Inputs!$B$164)</f>
        <v>7266433.4822303122</v>
      </c>
      <c r="D38" s="113">
        <f t="shared" si="18"/>
        <v>4844288.9881535424</v>
      </c>
      <c r="E38" s="124">
        <f>ROUND(D38/((1+Inputs!$B$3)^(A38-2016)),0)</f>
        <v>779593</v>
      </c>
      <c r="F38" s="66"/>
    </row>
    <row r="39" spans="1:6" ht="15" customHeight="1" x14ac:dyDescent="0.25">
      <c r="A39" s="41">
        <v>2044</v>
      </c>
      <c r="B39" s="87">
        <f t="shared" si="17"/>
        <v>12110722.470383855</v>
      </c>
      <c r="C39" s="87">
        <f>B39*(1-Inputs!$B$164)</f>
        <v>7266433.4822303122</v>
      </c>
      <c r="D39" s="113">
        <f t="shared" si="18"/>
        <v>4844288.9881535424</v>
      </c>
      <c r="E39" s="124">
        <f>ROUND(D39/((1+Inputs!$B$3)^(A39-2016)),0)</f>
        <v>728592</v>
      </c>
      <c r="F39" s="66"/>
    </row>
    <row r="40" spans="1:6" ht="15" customHeight="1" x14ac:dyDescent="0.25">
      <c r="A40" s="41">
        <v>2045</v>
      </c>
      <c r="B40" s="87">
        <f t="shared" si="17"/>
        <v>12110722.470383855</v>
      </c>
      <c r="C40" s="87">
        <f>B40*(1-Inputs!$B$164)</f>
        <v>7266433.4822303122</v>
      </c>
      <c r="D40" s="113">
        <f t="shared" si="18"/>
        <v>4844288.9881535424</v>
      </c>
      <c r="E40" s="124">
        <f>ROUND(D40/((1+Inputs!$B$3)^(A40-2016)),0)</f>
        <v>680927</v>
      </c>
      <c r="F40" s="66"/>
    </row>
    <row r="41" spans="1:6" ht="15" customHeight="1" x14ac:dyDescent="0.25">
      <c r="A41" s="41">
        <v>2046</v>
      </c>
      <c r="B41" s="87">
        <f t="shared" si="17"/>
        <v>12110722.470383855</v>
      </c>
      <c r="C41" s="87">
        <f>B41*(1-Inputs!$B$164)</f>
        <v>7266433.4822303122</v>
      </c>
      <c r="D41" s="113">
        <f t="shared" si="18"/>
        <v>4844288.9881535424</v>
      </c>
      <c r="E41" s="124">
        <f>ROUND(D41/((1+Inputs!$B$3)^(A41-2016)),0)</f>
        <v>636380</v>
      </c>
      <c r="F41" s="66"/>
    </row>
    <row r="42" spans="1:6" ht="15" customHeight="1" x14ac:dyDescent="0.25">
      <c r="A42" s="41">
        <v>2047</v>
      </c>
      <c r="B42" s="87">
        <f t="shared" si="17"/>
        <v>12110722.470383855</v>
      </c>
      <c r="C42" s="87">
        <f>B42*(1-Inputs!$B$164)</f>
        <v>7266433.4822303122</v>
      </c>
      <c r="D42" s="113">
        <f t="shared" si="18"/>
        <v>4844288.9881535424</v>
      </c>
      <c r="E42" s="124">
        <f>ROUND(D42/((1+Inputs!$B$3)^(A42-2016)),0)</f>
        <v>594748</v>
      </c>
      <c r="F42" s="66"/>
    </row>
    <row r="43" spans="1:6" ht="15" customHeight="1" x14ac:dyDescent="0.25">
      <c r="A43" s="41">
        <v>2048</v>
      </c>
      <c r="B43" s="87">
        <f t="shared" si="17"/>
        <v>12110722.470383855</v>
      </c>
      <c r="C43" s="87">
        <f>B43*(1-Inputs!$B$164)</f>
        <v>7266433.4822303122</v>
      </c>
      <c r="D43" s="113">
        <f t="shared" si="18"/>
        <v>4844288.9881535424</v>
      </c>
      <c r="E43" s="124">
        <f>ROUND(D43/((1+Inputs!$B$3)^(A43-2016)),0)</f>
        <v>555839</v>
      </c>
      <c r="F43" s="66"/>
    </row>
    <row r="44" spans="1:6" ht="15" customHeight="1" thickBot="1" x14ac:dyDescent="0.3">
      <c r="A44" s="41">
        <v>2049</v>
      </c>
      <c r="B44" s="87">
        <f t="shared" si="17"/>
        <v>12110722.470383855</v>
      </c>
      <c r="C44" s="87">
        <f>B44*(1-Inputs!$B$164)</f>
        <v>7266433.4822303122</v>
      </c>
      <c r="D44" s="113">
        <f t="shared" si="18"/>
        <v>4844288.9881535424</v>
      </c>
      <c r="E44" s="124">
        <f>ROUND(D44/((1+Inputs!$B$3)^(A44-2016)),0)</f>
        <v>519476</v>
      </c>
      <c r="F44" s="66"/>
    </row>
    <row r="45" spans="1:6" ht="15" customHeight="1" thickBot="1" x14ac:dyDescent="0.3">
      <c r="A45" s="52" t="s">
        <v>165</v>
      </c>
      <c r="B45" s="77">
        <f>SUM(B13:B44)</f>
        <v>387543119.05228359</v>
      </c>
      <c r="C45" s="77">
        <f>SUM(C13:C44)</f>
        <v>242214449.40767694</v>
      </c>
      <c r="D45" s="78">
        <f>SUM(D13:D44)</f>
        <v>145328669.64460632</v>
      </c>
      <c r="E45" s="121">
        <f>SUM(E13:E44)</f>
        <v>49070098</v>
      </c>
      <c r="F45" s="81"/>
    </row>
    <row r="46" spans="1:6" ht="15" customHeight="1" x14ac:dyDescent="0.25"/>
    <row r="47" spans="1:6" ht="15" customHeight="1" thickBot="1" x14ac:dyDescent="0.3">
      <c r="A47" s="112"/>
    </row>
    <row r="48" spans="1:6" ht="15" customHeight="1" x14ac:dyDescent="0.25">
      <c r="A48" s="603" t="s">
        <v>132</v>
      </c>
      <c r="B48" s="115" t="s">
        <v>276</v>
      </c>
      <c r="C48" s="115" t="s">
        <v>286</v>
      </c>
      <c r="D48" s="152" t="s">
        <v>277</v>
      </c>
      <c r="E48" s="141" t="s">
        <v>278</v>
      </c>
    </row>
    <row r="49" spans="1:5" ht="15" customHeight="1" x14ac:dyDescent="0.25">
      <c r="A49" s="41">
        <v>2018</v>
      </c>
      <c r="B49" s="87">
        <f>ROUND(B13,-3)</f>
        <v>12111000</v>
      </c>
      <c r="C49" s="87">
        <f t="shared" ref="C49:E49" si="19">ROUND(C13,-3)</f>
        <v>12111000</v>
      </c>
      <c r="D49" s="113">
        <f t="shared" si="19"/>
        <v>0</v>
      </c>
      <c r="E49" s="124">
        <f t="shared" si="19"/>
        <v>0</v>
      </c>
    </row>
    <row r="50" spans="1:5" ht="15" customHeight="1" x14ac:dyDescent="0.25">
      <c r="A50" s="41">
        <v>2019</v>
      </c>
      <c r="B50" s="87">
        <f t="shared" ref="B50:E50" si="20">ROUND(B14,-3)</f>
        <v>12111000</v>
      </c>
      <c r="C50" s="87">
        <f t="shared" si="20"/>
        <v>12111000</v>
      </c>
      <c r="D50" s="113">
        <f t="shared" si="20"/>
        <v>0</v>
      </c>
      <c r="E50" s="124">
        <f t="shared" si="20"/>
        <v>0</v>
      </c>
    </row>
    <row r="51" spans="1:5" ht="15" customHeight="1" x14ac:dyDescent="0.25">
      <c r="A51" s="41">
        <v>2020</v>
      </c>
      <c r="B51" s="87">
        <f t="shared" ref="B51:E51" si="21">ROUND(B15,-3)</f>
        <v>12111000</v>
      </c>
      <c r="C51" s="87">
        <f t="shared" si="21"/>
        <v>7266000</v>
      </c>
      <c r="D51" s="113">
        <f t="shared" si="21"/>
        <v>4844000</v>
      </c>
      <c r="E51" s="124">
        <f t="shared" si="21"/>
        <v>3696000</v>
      </c>
    </row>
    <row r="52" spans="1:5" ht="15" customHeight="1" x14ac:dyDescent="0.25">
      <c r="A52" s="41">
        <v>2021</v>
      </c>
      <c r="B52" s="87">
        <f t="shared" ref="B52:E52" si="22">ROUND(B16,-3)</f>
        <v>12111000</v>
      </c>
      <c r="C52" s="87">
        <f t="shared" si="22"/>
        <v>7266000</v>
      </c>
      <c r="D52" s="113">
        <f t="shared" si="22"/>
        <v>4844000</v>
      </c>
      <c r="E52" s="124">
        <f t="shared" si="22"/>
        <v>3454000</v>
      </c>
    </row>
    <row r="53" spans="1:5" ht="15" customHeight="1" x14ac:dyDescent="0.25">
      <c r="A53" s="41">
        <v>2022</v>
      </c>
      <c r="B53" s="87">
        <f t="shared" ref="B53:E53" si="23">ROUND(B17,-3)</f>
        <v>12111000</v>
      </c>
      <c r="C53" s="87">
        <f t="shared" si="23"/>
        <v>7266000</v>
      </c>
      <c r="D53" s="113">
        <f t="shared" si="23"/>
        <v>4844000</v>
      </c>
      <c r="E53" s="124">
        <f t="shared" si="23"/>
        <v>3228000</v>
      </c>
    </row>
    <row r="54" spans="1:5" ht="15" customHeight="1" x14ac:dyDescent="0.25">
      <c r="A54" s="41">
        <v>2023</v>
      </c>
      <c r="B54" s="87">
        <f t="shared" ref="B54:E54" si="24">ROUND(B18,-3)</f>
        <v>12111000</v>
      </c>
      <c r="C54" s="87">
        <f t="shared" si="24"/>
        <v>7266000</v>
      </c>
      <c r="D54" s="113">
        <f t="shared" si="24"/>
        <v>4844000</v>
      </c>
      <c r="E54" s="124">
        <f t="shared" si="24"/>
        <v>3017000</v>
      </c>
    </row>
    <row r="55" spans="1:5" ht="15" customHeight="1" x14ac:dyDescent="0.25">
      <c r="A55" s="41">
        <v>2024</v>
      </c>
      <c r="B55" s="87">
        <f t="shared" ref="B55:E55" si="25">ROUND(B19,-3)</f>
        <v>12111000</v>
      </c>
      <c r="C55" s="87">
        <f t="shared" si="25"/>
        <v>7266000</v>
      </c>
      <c r="D55" s="113">
        <f t="shared" si="25"/>
        <v>4844000</v>
      </c>
      <c r="E55" s="124">
        <f t="shared" si="25"/>
        <v>2819000</v>
      </c>
    </row>
    <row r="56" spans="1:5" ht="15" customHeight="1" x14ac:dyDescent="0.25">
      <c r="A56" s="41">
        <v>2025</v>
      </c>
      <c r="B56" s="87">
        <f t="shared" ref="B56:E56" si="26">ROUND(B20,-3)</f>
        <v>12111000</v>
      </c>
      <c r="C56" s="87">
        <f t="shared" si="26"/>
        <v>7266000</v>
      </c>
      <c r="D56" s="113">
        <f t="shared" si="26"/>
        <v>4844000</v>
      </c>
      <c r="E56" s="124">
        <f t="shared" si="26"/>
        <v>2635000</v>
      </c>
    </row>
    <row r="57" spans="1:5" x14ac:dyDescent="0.25">
      <c r="A57" s="41">
        <v>2026</v>
      </c>
      <c r="B57" s="87">
        <f t="shared" ref="B57:E57" si="27">ROUND(B21,-3)</f>
        <v>12111000</v>
      </c>
      <c r="C57" s="87">
        <f t="shared" si="27"/>
        <v>7266000</v>
      </c>
      <c r="D57" s="113">
        <f t="shared" si="27"/>
        <v>4844000</v>
      </c>
      <c r="E57" s="124">
        <f t="shared" si="27"/>
        <v>2463000</v>
      </c>
    </row>
    <row r="58" spans="1:5" x14ac:dyDescent="0.25">
      <c r="A58" s="41">
        <v>2027</v>
      </c>
      <c r="B58" s="87">
        <f t="shared" ref="B58:E58" si="28">ROUND(B22,-3)</f>
        <v>12111000</v>
      </c>
      <c r="C58" s="87">
        <f t="shared" si="28"/>
        <v>7266000</v>
      </c>
      <c r="D58" s="113">
        <f t="shared" si="28"/>
        <v>4844000</v>
      </c>
      <c r="E58" s="124">
        <f t="shared" si="28"/>
        <v>2301000</v>
      </c>
    </row>
    <row r="59" spans="1:5" x14ac:dyDescent="0.25">
      <c r="A59" s="41">
        <v>2028</v>
      </c>
      <c r="B59" s="87">
        <f t="shared" ref="B59:E59" si="29">ROUND(B23,-3)</f>
        <v>12111000</v>
      </c>
      <c r="C59" s="87">
        <f t="shared" si="29"/>
        <v>7266000</v>
      </c>
      <c r="D59" s="113">
        <f t="shared" si="29"/>
        <v>4844000</v>
      </c>
      <c r="E59" s="124">
        <f t="shared" si="29"/>
        <v>2151000</v>
      </c>
    </row>
    <row r="60" spans="1:5" x14ac:dyDescent="0.25">
      <c r="A60" s="41">
        <v>2029</v>
      </c>
      <c r="B60" s="87">
        <f t="shared" ref="B60:E60" si="30">ROUND(B24,-3)</f>
        <v>12111000</v>
      </c>
      <c r="C60" s="87">
        <f t="shared" si="30"/>
        <v>7266000</v>
      </c>
      <c r="D60" s="113">
        <f t="shared" si="30"/>
        <v>4844000</v>
      </c>
      <c r="E60" s="124">
        <f t="shared" si="30"/>
        <v>2010000</v>
      </c>
    </row>
    <row r="61" spans="1:5" x14ac:dyDescent="0.25">
      <c r="A61" s="41">
        <v>2030</v>
      </c>
      <c r="B61" s="87">
        <f t="shared" ref="B61:E61" si="31">ROUND(B25,-3)</f>
        <v>12111000</v>
      </c>
      <c r="C61" s="87">
        <f t="shared" si="31"/>
        <v>7266000</v>
      </c>
      <c r="D61" s="113">
        <f t="shared" si="31"/>
        <v>4844000</v>
      </c>
      <c r="E61" s="124">
        <f t="shared" si="31"/>
        <v>1879000</v>
      </c>
    </row>
    <row r="62" spans="1:5" x14ac:dyDescent="0.25">
      <c r="A62" s="41">
        <v>2031</v>
      </c>
      <c r="B62" s="87">
        <f t="shared" ref="B62:E62" si="32">ROUND(B26,-3)</f>
        <v>12111000</v>
      </c>
      <c r="C62" s="87">
        <f t="shared" si="32"/>
        <v>7266000</v>
      </c>
      <c r="D62" s="113">
        <f t="shared" si="32"/>
        <v>4844000</v>
      </c>
      <c r="E62" s="124">
        <f t="shared" si="32"/>
        <v>1756000</v>
      </c>
    </row>
    <row r="63" spans="1:5" x14ac:dyDescent="0.25">
      <c r="A63" s="41">
        <v>2032</v>
      </c>
      <c r="B63" s="87">
        <f t="shared" ref="B63:E63" si="33">ROUND(B27,-3)</f>
        <v>12111000</v>
      </c>
      <c r="C63" s="87">
        <f t="shared" si="33"/>
        <v>7266000</v>
      </c>
      <c r="D63" s="113">
        <f t="shared" si="33"/>
        <v>4844000</v>
      </c>
      <c r="E63" s="124">
        <f t="shared" si="33"/>
        <v>1641000</v>
      </c>
    </row>
    <row r="64" spans="1:5" x14ac:dyDescent="0.25">
      <c r="A64" s="41">
        <v>2033</v>
      </c>
      <c r="B64" s="87">
        <f t="shared" ref="B64:E64" si="34">ROUND(B28,-3)</f>
        <v>12111000</v>
      </c>
      <c r="C64" s="87">
        <f t="shared" si="34"/>
        <v>7266000</v>
      </c>
      <c r="D64" s="113">
        <f t="shared" si="34"/>
        <v>4844000</v>
      </c>
      <c r="E64" s="124">
        <f t="shared" si="34"/>
        <v>1534000</v>
      </c>
    </row>
    <row r="65" spans="1:5" x14ac:dyDescent="0.25">
      <c r="A65" s="41">
        <v>2034</v>
      </c>
      <c r="B65" s="87">
        <f t="shared" ref="B65:E65" si="35">ROUND(B29,-3)</f>
        <v>12111000</v>
      </c>
      <c r="C65" s="87">
        <f t="shared" si="35"/>
        <v>7266000</v>
      </c>
      <c r="D65" s="113">
        <f t="shared" si="35"/>
        <v>4844000</v>
      </c>
      <c r="E65" s="124">
        <f t="shared" si="35"/>
        <v>1433000</v>
      </c>
    </row>
    <row r="66" spans="1:5" x14ac:dyDescent="0.25">
      <c r="A66" s="41">
        <v>2035</v>
      </c>
      <c r="B66" s="87">
        <f t="shared" ref="B66:E66" si="36">ROUND(B30,-3)</f>
        <v>12111000</v>
      </c>
      <c r="C66" s="87">
        <f t="shared" si="36"/>
        <v>7266000</v>
      </c>
      <c r="D66" s="113">
        <f t="shared" si="36"/>
        <v>4844000</v>
      </c>
      <c r="E66" s="124">
        <f t="shared" si="36"/>
        <v>1339000</v>
      </c>
    </row>
    <row r="67" spans="1:5" x14ac:dyDescent="0.25">
      <c r="A67" s="41">
        <v>2036</v>
      </c>
      <c r="B67" s="87">
        <f t="shared" ref="B67:E67" si="37">ROUND(B31,-3)</f>
        <v>12111000</v>
      </c>
      <c r="C67" s="87">
        <f t="shared" si="37"/>
        <v>7266000</v>
      </c>
      <c r="D67" s="113">
        <f t="shared" si="37"/>
        <v>4844000</v>
      </c>
      <c r="E67" s="124">
        <f t="shared" si="37"/>
        <v>1252000</v>
      </c>
    </row>
    <row r="68" spans="1:5" x14ac:dyDescent="0.25">
      <c r="A68" s="41">
        <v>2037</v>
      </c>
      <c r="B68" s="87">
        <f t="shared" ref="B68:E68" si="38">ROUND(B32,-3)</f>
        <v>12111000</v>
      </c>
      <c r="C68" s="87">
        <f t="shared" si="38"/>
        <v>7266000</v>
      </c>
      <c r="D68" s="113">
        <f t="shared" si="38"/>
        <v>4844000</v>
      </c>
      <c r="E68" s="124">
        <f t="shared" si="38"/>
        <v>1170000</v>
      </c>
    </row>
    <row r="69" spans="1:5" x14ac:dyDescent="0.25">
      <c r="A69" s="41">
        <v>2038</v>
      </c>
      <c r="B69" s="87">
        <f t="shared" ref="B69:E69" si="39">ROUND(B33,-3)</f>
        <v>12111000</v>
      </c>
      <c r="C69" s="87">
        <f t="shared" si="39"/>
        <v>7266000</v>
      </c>
      <c r="D69" s="113">
        <f t="shared" si="39"/>
        <v>4844000</v>
      </c>
      <c r="E69" s="124">
        <f t="shared" si="39"/>
        <v>1093000</v>
      </c>
    </row>
    <row r="70" spans="1:5" x14ac:dyDescent="0.25">
      <c r="A70" s="41">
        <v>2039</v>
      </c>
      <c r="B70" s="87">
        <f t="shared" ref="B70:E70" si="40">ROUND(B34,-3)</f>
        <v>12111000</v>
      </c>
      <c r="C70" s="87">
        <f t="shared" si="40"/>
        <v>7266000</v>
      </c>
      <c r="D70" s="113">
        <f t="shared" si="40"/>
        <v>4844000</v>
      </c>
      <c r="E70" s="124">
        <f t="shared" si="40"/>
        <v>1022000</v>
      </c>
    </row>
    <row r="71" spans="1:5" x14ac:dyDescent="0.25">
      <c r="A71" s="41">
        <v>2040</v>
      </c>
      <c r="B71" s="87">
        <f t="shared" ref="B71:E71" si="41">ROUND(B35,-3)</f>
        <v>12111000</v>
      </c>
      <c r="C71" s="87">
        <f t="shared" si="41"/>
        <v>7266000</v>
      </c>
      <c r="D71" s="113">
        <f t="shared" si="41"/>
        <v>4844000</v>
      </c>
      <c r="E71" s="124">
        <f t="shared" si="41"/>
        <v>955000</v>
      </c>
    </row>
    <row r="72" spans="1:5" x14ac:dyDescent="0.25">
      <c r="A72" s="41">
        <v>2041</v>
      </c>
      <c r="B72" s="87">
        <f t="shared" ref="B72:E72" si="42">ROUND(B36,-3)</f>
        <v>12111000</v>
      </c>
      <c r="C72" s="87">
        <f t="shared" si="42"/>
        <v>7266000</v>
      </c>
      <c r="D72" s="113">
        <f t="shared" si="42"/>
        <v>4844000</v>
      </c>
      <c r="E72" s="124">
        <f t="shared" si="42"/>
        <v>893000</v>
      </c>
    </row>
    <row r="73" spans="1:5" x14ac:dyDescent="0.25">
      <c r="A73" s="41">
        <v>2042</v>
      </c>
      <c r="B73" s="87">
        <f t="shared" ref="B73:E73" si="43">ROUND(B37,-3)</f>
        <v>12111000</v>
      </c>
      <c r="C73" s="87">
        <f t="shared" si="43"/>
        <v>7266000</v>
      </c>
      <c r="D73" s="113">
        <f t="shared" si="43"/>
        <v>4844000</v>
      </c>
      <c r="E73" s="124">
        <f t="shared" si="43"/>
        <v>834000</v>
      </c>
    </row>
    <row r="74" spans="1:5" x14ac:dyDescent="0.25">
      <c r="A74" s="41">
        <v>2043</v>
      </c>
      <c r="B74" s="87">
        <f t="shared" ref="B74:E74" si="44">ROUND(B38,-3)</f>
        <v>12111000</v>
      </c>
      <c r="C74" s="87">
        <f t="shared" si="44"/>
        <v>7266000</v>
      </c>
      <c r="D74" s="113">
        <f t="shared" si="44"/>
        <v>4844000</v>
      </c>
      <c r="E74" s="124">
        <f t="shared" si="44"/>
        <v>780000</v>
      </c>
    </row>
    <row r="75" spans="1:5" x14ac:dyDescent="0.25">
      <c r="A75" s="41">
        <v>2044</v>
      </c>
      <c r="B75" s="87">
        <f t="shared" ref="B75:E75" si="45">ROUND(B39,-3)</f>
        <v>12111000</v>
      </c>
      <c r="C75" s="87">
        <f t="shared" si="45"/>
        <v>7266000</v>
      </c>
      <c r="D75" s="113">
        <f t="shared" si="45"/>
        <v>4844000</v>
      </c>
      <c r="E75" s="124">
        <f t="shared" si="45"/>
        <v>729000</v>
      </c>
    </row>
    <row r="76" spans="1:5" x14ac:dyDescent="0.25">
      <c r="A76" s="41">
        <v>2045</v>
      </c>
      <c r="B76" s="87">
        <f t="shared" ref="B76:E76" si="46">ROUND(B40,-3)</f>
        <v>12111000</v>
      </c>
      <c r="C76" s="87">
        <f t="shared" si="46"/>
        <v>7266000</v>
      </c>
      <c r="D76" s="113">
        <f t="shared" si="46"/>
        <v>4844000</v>
      </c>
      <c r="E76" s="124">
        <f t="shared" si="46"/>
        <v>681000</v>
      </c>
    </row>
    <row r="77" spans="1:5" x14ac:dyDescent="0.25">
      <c r="A77" s="41">
        <v>2046</v>
      </c>
      <c r="B77" s="87">
        <f t="shared" ref="B77:E77" si="47">ROUND(B41,-3)</f>
        <v>12111000</v>
      </c>
      <c r="C77" s="87">
        <f t="shared" si="47"/>
        <v>7266000</v>
      </c>
      <c r="D77" s="113">
        <f t="shared" si="47"/>
        <v>4844000</v>
      </c>
      <c r="E77" s="124">
        <f t="shared" si="47"/>
        <v>636000</v>
      </c>
    </row>
    <row r="78" spans="1:5" x14ac:dyDescent="0.25">
      <c r="A78" s="41">
        <v>2047</v>
      </c>
      <c r="B78" s="87">
        <f t="shared" ref="B78:E78" si="48">ROUND(B42,-3)</f>
        <v>12111000</v>
      </c>
      <c r="C78" s="87">
        <f t="shared" si="48"/>
        <v>7266000</v>
      </c>
      <c r="D78" s="113">
        <f t="shared" si="48"/>
        <v>4844000</v>
      </c>
      <c r="E78" s="124">
        <f t="shared" si="48"/>
        <v>595000</v>
      </c>
    </row>
    <row r="79" spans="1:5" x14ac:dyDescent="0.25">
      <c r="A79" s="41">
        <v>2048</v>
      </c>
      <c r="B79" s="87">
        <f t="shared" ref="B79:E79" si="49">ROUND(B43,-3)</f>
        <v>12111000</v>
      </c>
      <c r="C79" s="87">
        <f t="shared" si="49"/>
        <v>7266000</v>
      </c>
      <c r="D79" s="113">
        <f t="shared" si="49"/>
        <v>4844000</v>
      </c>
      <c r="E79" s="124">
        <f t="shared" si="49"/>
        <v>556000</v>
      </c>
    </row>
    <row r="80" spans="1:5" ht="15.75" thickBot="1" x14ac:dyDescent="0.3">
      <c r="A80" s="41">
        <v>2049</v>
      </c>
      <c r="B80" s="87">
        <f t="shared" ref="B80:E80" si="50">ROUND(B44,-3)</f>
        <v>12111000</v>
      </c>
      <c r="C80" s="87">
        <f t="shared" si="50"/>
        <v>7266000</v>
      </c>
      <c r="D80" s="113">
        <f t="shared" si="50"/>
        <v>4844000</v>
      </c>
      <c r="E80" s="124">
        <f t="shared" si="50"/>
        <v>519000</v>
      </c>
    </row>
    <row r="81" spans="1:5" ht="15.75" thickBot="1" x14ac:dyDescent="0.3">
      <c r="A81" s="52" t="s">
        <v>165</v>
      </c>
      <c r="B81" s="77">
        <f t="shared" ref="B81:E81" si="51">ROUND(B45,-3)</f>
        <v>387543000</v>
      </c>
      <c r="C81" s="77">
        <f t="shared" si="51"/>
        <v>242214000</v>
      </c>
      <c r="D81" s="78">
        <f t="shared" si="51"/>
        <v>145329000</v>
      </c>
      <c r="E81" s="121">
        <f t="shared" si="51"/>
        <v>49070000</v>
      </c>
    </row>
  </sheetData>
  <sheetProtection password="891C" sheet="1" objects="1" scenarios="1"/>
  <mergeCells count="5">
    <mergeCell ref="A1:F1"/>
    <mergeCell ref="G1:M1"/>
    <mergeCell ref="N1:T1"/>
    <mergeCell ref="U1:AA1"/>
    <mergeCell ref="AB1:AB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zoomScale="80" zoomScaleNormal="80" workbookViewId="0">
      <selection activeCell="H32" sqref="H32"/>
    </sheetView>
  </sheetViews>
  <sheetFormatPr defaultRowHeight="15" x14ac:dyDescent="0.25"/>
  <cols>
    <col min="1" max="1" width="18.42578125" style="10" customWidth="1"/>
    <col min="2" max="2" width="12.7109375" style="10" bestFit="1" customWidth="1"/>
    <col min="3" max="4" width="12.7109375" style="10" customWidth="1"/>
    <col min="5" max="5" width="12.7109375" style="10" bestFit="1" customWidth="1"/>
    <col min="6" max="6" width="11.140625" style="10" customWidth="1"/>
    <col min="7" max="7" width="9.5703125" style="10" bestFit="1" customWidth="1"/>
    <col min="8" max="8" width="10.28515625" style="10" bestFit="1" customWidth="1"/>
    <col min="9" max="10" width="11.28515625" style="10" bestFit="1" customWidth="1"/>
    <col min="11" max="20" width="9.5703125" style="10" bestFit="1" customWidth="1"/>
    <col min="21" max="26" width="9.5703125" style="10" customWidth="1"/>
    <col min="27" max="27" width="12.140625" style="10" customWidth="1"/>
    <col min="28" max="28" width="11.5703125" style="10" customWidth="1"/>
    <col min="29" max="16384" width="9.140625" style="10"/>
  </cols>
  <sheetData>
    <row r="1" spans="1:28" s="8" customFormat="1" x14ac:dyDescent="0.25">
      <c r="A1" s="692" t="s">
        <v>283</v>
      </c>
      <c r="B1" s="693"/>
      <c r="C1" s="693"/>
      <c r="D1" s="693"/>
      <c r="E1" s="693"/>
      <c r="F1" s="694"/>
      <c r="G1" s="716" t="s">
        <v>268</v>
      </c>
      <c r="H1" s="693"/>
      <c r="I1" s="693"/>
      <c r="J1" s="693"/>
      <c r="K1" s="693"/>
      <c r="L1" s="693"/>
      <c r="M1" s="694"/>
      <c r="N1" s="716" t="s">
        <v>275</v>
      </c>
      <c r="O1" s="693"/>
      <c r="P1" s="693"/>
      <c r="Q1" s="693"/>
      <c r="R1" s="693"/>
      <c r="S1" s="693"/>
      <c r="T1" s="694"/>
      <c r="U1" s="716" t="s">
        <v>287</v>
      </c>
      <c r="V1" s="693"/>
      <c r="W1" s="693"/>
      <c r="X1" s="693"/>
      <c r="Y1" s="693"/>
      <c r="Z1" s="693"/>
      <c r="AA1" s="694"/>
      <c r="AB1" s="714" t="s">
        <v>1</v>
      </c>
    </row>
    <row r="2" spans="1:28" s="8" customFormat="1" ht="30" x14ac:dyDescent="0.25">
      <c r="A2" s="69" t="s">
        <v>132</v>
      </c>
      <c r="B2" s="101" t="s">
        <v>258</v>
      </c>
      <c r="C2" s="101" t="s">
        <v>259</v>
      </c>
      <c r="D2" s="101" t="s">
        <v>281</v>
      </c>
      <c r="E2" s="101" t="s">
        <v>260</v>
      </c>
      <c r="F2" s="72" t="s">
        <v>282</v>
      </c>
      <c r="G2" s="220" t="s">
        <v>261</v>
      </c>
      <c r="H2" s="101" t="s">
        <v>262</v>
      </c>
      <c r="I2" s="101" t="s">
        <v>263</v>
      </c>
      <c r="J2" s="101" t="s">
        <v>264</v>
      </c>
      <c r="K2" s="101" t="s">
        <v>265</v>
      </c>
      <c r="L2" s="101" t="s">
        <v>266</v>
      </c>
      <c r="M2" s="72" t="s">
        <v>267</v>
      </c>
      <c r="N2" s="220" t="s">
        <v>261</v>
      </c>
      <c r="O2" s="101" t="s">
        <v>262</v>
      </c>
      <c r="P2" s="101" t="s">
        <v>263</v>
      </c>
      <c r="Q2" s="101" t="s">
        <v>264</v>
      </c>
      <c r="R2" s="101" t="s">
        <v>265</v>
      </c>
      <c r="S2" s="101" t="s">
        <v>266</v>
      </c>
      <c r="T2" s="72" t="s">
        <v>267</v>
      </c>
      <c r="U2" s="220" t="s">
        <v>261</v>
      </c>
      <c r="V2" s="101" t="s">
        <v>262</v>
      </c>
      <c r="W2" s="101" t="s">
        <v>263</v>
      </c>
      <c r="X2" s="101" t="s">
        <v>264</v>
      </c>
      <c r="Y2" s="101" t="s">
        <v>265</v>
      </c>
      <c r="Z2" s="101" t="s">
        <v>266</v>
      </c>
      <c r="AA2" s="72" t="s">
        <v>267</v>
      </c>
      <c r="AB2" s="715"/>
    </row>
    <row r="3" spans="1:28" x14ac:dyDescent="0.25">
      <c r="A3" s="70">
        <v>2011</v>
      </c>
      <c r="B3" s="50">
        <f>('KSP Crash Data'!C52)-(SUM(C3,D3))</f>
        <v>0</v>
      </c>
      <c r="C3" s="50">
        <f>'KSP Crash Data'!H52</f>
        <v>1</v>
      </c>
      <c r="D3" s="50">
        <f>'KSP Crash Data'!I52</f>
        <v>0</v>
      </c>
      <c r="E3" s="50">
        <f>'KSP Crash Data'!G52</f>
        <v>1</v>
      </c>
      <c r="F3" s="230">
        <f>'KSP Crash Data'!F52</f>
        <v>0</v>
      </c>
      <c r="G3" s="221">
        <f t="shared" ref="G3:G7" si="0">C3*0.21538</f>
        <v>0.21537999999999999</v>
      </c>
      <c r="H3" s="83">
        <f t="shared" ref="H3:H7" si="1">C3*0.62728</f>
        <v>0.62727999999999995</v>
      </c>
      <c r="I3" s="83">
        <f t="shared" ref="I3:I7" si="2">C3*0.104</f>
        <v>0.104</v>
      </c>
      <c r="J3" s="83">
        <f t="shared" ref="J3:J7" si="3">C3*0.03858</f>
        <v>3.8580000000000003E-2</v>
      </c>
      <c r="K3" s="83">
        <f t="shared" ref="K3:K7" si="4">C3*0.00442</f>
        <v>4.4200000000000003E-3</v>
      </c>
      <c r="L3" s="83">
        <f t="shared" ref="L3:L7" si="5">C3*0.01034</f>
        <v>1.034E-2</v>
      </c>
      <c r="M3" s="84">
        <v>0</v>
      </c>
      <c r="N3" s="221">
        <f t="shared" ref="N3:N7" si="6">B3*0.92534</f>
        <v>0</v>
      </c>
      <c r="O3" s="83">
        <f t="shared" ref="O3:O7" si="7">B3*0.07257</f>
        <v>0</v>
      </c>
      <c r="P3" s="83">
        <f t="shared" ref="P3:P7" si="8">B3*0.00198</f>
        <v>0</v>
      </c>
      <c r="Q3" s="83">
        <f t="shared" ref="Q3:Q7" si="9">B3*0.00008</f>
        <v>0</v>
      </c>
      <c r="R3" s="83">
        <f t="shared" ref="R3:R7" si="10">B3*0</f>
        <v>0</v>
      </c>
      <c r="S3" s="83">
        <f t="shared" ref="S3:S7" si="11">B3*0.00003</f>
        <v>0</v>
      </c>
      <c r="T3" s="84">
        <v>0</v>
      </c>
      <c r="U3" s="221">
        <v>0</v>
      </c>
      <c r="V3" s="83">
        <v>0</v>
      </c>
      <c r="W3" s="83">
        <v>0</v>
      </c>
      <c r="X3" s="83">
        <v>0</v>
      </c>
      <c r="Y3" s="83">
        <v>0</v>
      </c>
      <c r="Z3" s="83">
        <v>0</v>
      </c>
      <c r="AA3" s="84">
        <f t="shared" ref="AA3:AA7" si="12">F3*1</f>
        <v>0</v>
      </c>
      <c r="AB3" s="715"/>
    </row>
    <row r="4" spans="1:28" x14ac:dyDescent="0.25">
      <c r="A4" s="70">
        <f t="shared" ref="A4:A7" si="13">1+A3</f>
        <v>2012</v>
      </c>
      <c r="B4" s="67">
        <f>('KSP Crash Data'!C53)-(SUM(C4,D4))</f>
        <v>0</v>
      </c>
      <c r="C4" s="67">
        <f>'KSP Crash Data'!H53</f>
        <v>1</v>
      </c>
      <c r="D4" s="67">
        <f>'KSP Crash Data'!I53</f>
        <v>0</v>
      </c>
      <c r="E4" s="67">
        <f>'KSP Crash Data'!G53</f>
        <v>1</v>
      </c>
      <c r="F4" s="73">
        <f>'KSP Crash Data'!F53</f>
        <v>0</v>
      </c>
      <c r="G4" s="221">
        <f t="shared" si="0"/>
        <v>0.21537999999999999</v>
      </c>
      <c r="H4" s="83">
        <f t="shared" si="1"/>
        <v>0.62727999999999995</v>
      </c>
      <c r="I4" s="83">
        <f t="shared" si="2"/>
        <v>0.104</v>
      </c>
      <c r="J4" s="83">
        <f t="shared" si="3"/>
        <v>3.8580000000000003E-2</v>
      </c>
      <c r="K4" s="83">
        <f t="shared" si="4"/>
        <v>4.4200000000000003E-3</v>
      </c>
      <c r="L4" s="83">
        <f t="shared" si="5"/>
        <v>1.034E-2</v>
      </c>
      <c r="M4" s="84">
        <v>0</v>
      </c>
      <c r="N4" s="221">
        <f t="shared" si="6"/>
        <v>0</v>
      </c>
      <c r="O4" s="83">
        <f t="shared" si="7"/>
        <v>0</v>
      </c>
      <c r="P4" s="83">
        <f t="shared" si="8"/>
        <v>0</v>
      </c>
      <c r="Q4" s="83">
        <f t="shared" si="9"/>
        <v>0</v>
      </c>
      <c r="R4" s="83">
        <f t="shared" si="10"/>
        <v>0</v>
      </c>
      <c r="S4" s="83">
        <f t="shared" si="11"/>
        <v>0</v>
      </c>
      <c r="T4" s="84">
        <v>0</v>
      </c>
      <c r="U4" s="221">
        <v>0</v>
      </c>
      <c r="V4" s="83">
        <v>0</v>
      </c>
      <c r="W4" s="83">
        <v>0</v>
      </c>
      <c r="X4" s="83">
        <v>0</v>
      </c>
      <c r="Y4" s="83">
        <v>0</v>
      </c>
      <c r="Z4" s="83">
        <v>0</v>
      </c>
      <c r="AA4" s="84">
        <f t="shared" si="12"/>
        <v>0</v>
      </c>
      <c r="AB4" s="715"/>
    </row>
    <row r="5" spans="1:28" x14ac:dyDescent="0.25">
      <c r="A5" s="70">
        <f t="shared" si="13"/>
        <v>2013</v>
      </c>
      <c r="B5" s="67">
        <f>('KSP Crash Data'!C54)-(SUM(C5,D5))</f>
        <v>0</v>
      </c>
      <c r="C5" s="67">
        <f>'KSP Crash Data'!H54</f>
        <v>7</v>
      </c>
      <c r="D5" s="67">
        <f>'KSP Crash Data'!I54</f>
        <v>0</v>
      </c>
      <c r="E5" s="67">
        <f>'KSP Crash Data'!G54</f>
        <v>7</v>
      </c>
      <c r="F5" s="73">
        <f>'KSP Crash Data'!F54</f>
        <v>0</v>
      </c>
      <c r="G5" s="221">
        <f t="shared" si="0"/>
        <v>1.50766</v>
      </c>
      <c r="H5" s="83">
        <f t="shared" si="1"/>
        <v>4.3909599999999998</v>
      </c>
      <c r="I5" s="83">
        <f t="shared" si="2"/>
        <v>0.72799999999999998</v>
      </c>
      <c r="J5" s="83">
        <f t="shared" si="3"/>
        <v>0.27006000000000002</v>
      </c>
      <c r="K5" s="83">
        <f t="shared" si="4"/>
        <v>3.0940000000000002E-2</v>
      </c>
      <c r="L5" s="83">
        <f t="shared" si="5"/>
        <v>7.238E-2</v>
      </c>
      <c r="M5" s="84">
        <v>0</v>
      </c>
      <c r="N5" s="221">
        <f t="shared" si="6"/>
        <v>0</v>
      </c>
      <c r="O5" s="83">
        <f t="shared" si="7"/>
        <v>0</v>
      </c>
      <c r="P5" s="83">
        <f t="shared" si="8"/>
        <v>0</v>
      </c>
      <c r="Q5" s="83">
        <f t="shared" si="9"/>
        <v>0</v>
      </c>
      <c r="R5" s="83">
        <f t="shared" si="10"/>
        <v>0</v>
      </c>
      <c r="S5" s="83">
        <f t="shared" si="11"/>
        <v>0</v>
      </c>
      <c r="T5" s="84">
        <v>0</v>
      </c>
      <c r="U5" s="221">
        <v>0</v>
      </c>
      <c r="V5" s="83">
        <v>0</v>
      </c>
      <c r="W5" s="83">
        <v>0</v>
      </c>
      <c r="X5" s="83">
        <v>0</v>
      </c>
      <c r="Y5" s="83">
        <v>0</v>
      </c>
      <c r="Z5" s="83">
        <v>0</v>
      </c>
      <c r="AA5" s="84">
        <f t="shared" si="12"/>
        <v>0</v>
      </c>
      <c r="AB5" s="715"/>
    </row>
    <row r="6" spans="1:28" x14ac:dyDescent="0.25">
      <c r="A6" s="70">
        <f t="shared" si="13"/>
        <v>2014</v>
      </c>
      <c r="B6" s="67">
        <f>('KSP Crash Data'!C55)-(SUM(C6,D6))</f>
        <v>0</v>
      </c>
      <c r="C6" s="67">
        <f>'KSP Crash Data'!H55</f>
        <v>5</v>
      </c>
      <c r="D6" s="67">
        <f>'KSP Crash Data'!I55</f>
        <v>0</v>
      </c>
      <c r="E6" s="67">
        <f>'KSP Crash Data'!G55</f>
        <v>5</v>
      </c>
      <c r="F6" s="73">
        <f>'KSP Crash Data'!F55</f>
        <v>0</v>
      </c>
      <c r="G6" s="221">
        <f t="shared" si="0"/>
        <v>1.0769</v>
      </c>
      <c r="H6" s="83">
        <f t="shared" si="1"/>
        <v>3.1363999999999996</v>
      </c>
      <c r="I6" s="83">
        <f t="shared" si="2"/>
        <v>0.52</v>
      </c>
      <c r="J6" s="83">
        <f t="shared" si="3"/>
        <v>0.19290000000000002</v>
      </c>
      <c r="K6" s="83">
        <f t="shared" si="4"/>
        <v>2.2100000000000002E-2</v>
      </c>
      <c r="L6" s="83">
        <f t="shared" si="5"/>
        <v>5.1700000000000003E-2</v>
      </c>
      <c r="M6" s="84">
        <v>0</v>
      </c>
      <c r="N6" s="221">
        <f t="shared" si="6"/>
        <v>0</v>
      </c>
      <c r="O6" s="83">
        <f t="shared" si="7"/>
        <v>0</v>
      </c>
      <c r="P6" s="83">
        <f t="shared" si="8"/>
        <v>0</v>
      </c>
      <c r="Q6" s="83">
        <f t="shared" si="9"/>
        <v>0</v>
      </c>
      <c r="R6" s="83">
        <f t="shared" si="10"/>
        <v>0</v>
      </c>
      <c r="S6" s="83">
        <f t="shared" si="11"/>
        <v>0</v>
      </c>
      <c r="T6" s="84">
        <v>0</v>
      </c>
      <c r="U6" s="221">
        <v>0</v>
      </c>
      <c r="V6" s="83">
        <v>0</v>
      </c>
      <c r="W6" s="83">
        <v>0</v>
      </c>
      <c r="X6" s="83">
        <v>0</v>
      </c>
      <c r="Y6" s="83">
        <v>0</v>
      </c>
      <c r="Z6" s="83">
        <v>0</v>
      </c>
      <c r="AA6" s="84">
        <f t="shared" si="12"/>
        <v>0</v>
      </c>
      <c r="AB6" s="715"/>
    </row>
    <row r="7" spans="1:28" x14ac:dyDescent="0.25">
      <c r="A7" s="70">
        <f t="shared" si="13"/>
        <v>2015</v>
      </c>
      <c r="B7" s="67">
        <f>('KSP Crash Data'!C56)-(SUM(C7,D7))</f>
        <v>0</v>
      </c>
      <c r="C7" s="67">
        <f>'KSP Crash Data'!H56</f>
        <v>3</v>
      </c>
      <c r="D7" s="67">
        <f>'KSP Crash Data'!I56</f>
        <v>0</v>
      </c>
      <c r="E7" s="67">
        <f>'KSP Crash Data'!G56</f>
        <v>3</v>
      </c>
      <c r="F7" s="73">
        <f>'KSP Crash Data'!F56</f>
        <v>0</v>
      </c>
      <c r="G7" s="221">
        <f t="shared" si="0"/>
        <v>0.64613999999999994</v>
      </c>
      <c r="H7" s="83">
        <f t="shared" si="1"/>
        <v>1.88184</v>
      </c>
      <c r="I7" s="83">
        <f t="shared" si="2"/>
        <v>0.312</v>
      </c>
      <c r="J7" s="83">
        <f t="shared" si="3"/>
        <v>0.11574000000000001</v>
      </c>
      <c r="K7" s="83">
        <f t="shared" si="4"/>
        <v>1.3260000000000001E-2</v>
      </c>
      <c r="L7" s="83">
        <f t="shared" si="5"/>
        <v>3.1019999999999999E-2</v>
      </c>
      <c r="M7" s="84">
        <v>0</v>
      </c>
      <c r="N7" s="221">
        <f t="shared" si="6"/>
        <v>0</v>
      </c>
      <c r="O7" s="83">
        <f t="shared" si="7"/>
        <v>0</v>
      </c>
      <c r="P7" s="83">
        <f t="shared" si="8"/>
        <v>0</v>
      </c>
      <c r="Q7" s="83">
        <f t="shared" si="9"/>
        <v>0</v>
      </c>
      <c r="R7" s="83">
        <f t="shared" si="10"/>
        <v>0</v>
      </c>
      <c r="S7" s="83">
        <f t="shared" si="11"/>
        <v>0</v>
      </c>
      <c r="T7" s="84">
        <v>0</v>
      </c>
      <c r="U7" s="221">
        <v>0</v>
      </c>
      <c r="V7" s="83">
        <v>0</v>
      </c>
      <c r="W7" s="83">
        <v>0</v>
      </c>
      <c r="X7" s="83">
        <v>0</v>
      </c>
      <c r="Y7" s="83">
        <v>0</v>
      </c>
      <c r="Z7" s="83">
        <v>0</v>
      </c>
      <c r="AA7" s="84">
        <f t="shared" si="12"/>
        <v>0</v>
      </c>
      <c r="AB7" s="715"/>
    </row>
    <row r="8" spans="1:28" s="65" customFormat="1" x14ac:dyDescent="0.25">
      <c r="A8" s="71" t="s">
        <v>165</v>
      </c>
      <c r="B8" s="68">
        <f>SUM(B3:B7)</f>
        <v>0</v>
      </c>
      <c r="C8" s="68">
        <f>SUM(C3:C7)</f>
        <v>17</v>
      </c>
      <c r="D8" s="68">
        <f>SUM(D3:D7)</f>
        <v>0</v>
      </c>
      <c r="E8" s="274">
        <f>SUM(E3:E7)</f>
        <v>17</v>
      </c>
      <c r="F8" s="74">
        <f t="shared" ref="F8:AA8" si="14">SUM(F3:F7)</f>
        <v>0</v>
      </c>
      <c r="G8" s="222">
        <f t="shared" si="14"/>
        <v>3.6614599999999999</v>
      </c>
      <c r="H8" s="212">
        <f t="shared" si="14"/>
        <v>10.66376</v>
      </c>
      <c r="I8" s="212">
        <f t="shared" si="14"/>
        <v>1.768</v>
      </c>
      <c r="J8" s="212">
        <f t="shared" si="14"/>
        <v>0.65586000000000011</v>
      </c>
      <c r="K8" s="212">
        <f t="shared" si="14"/>
        <v>7.5140000000000012E-2</v>
      </c>
      <c r="L8" s="212">
        <f t="shared" si="14"/>
        <v>0.17577999999999999</v>
      </c>
      <c r="M8" s="213">
        <f t="shared" si="14"/>
        <v>0</v>
      </c>
      <c r="N8" s="222">
        <f t="shared" si="14"/>
        <v>0</v>
      </c>
      <c r="O8" s="212">
        <f t="shared" si="14"/>
        <v>0</v>
      </c>
      <c r="P8" s="212">
        <f t="shared" si="14"/>
        <v>0</v>
      </c>
      <c r="Q8" s="212">
        <f t="shared" si="14"/>
        <v>0</v>
      </c>
      <c r="R8" s="212">
        <f t="shared" si="14"/>
        <v>0</v>
      </c>
      <c r="S8" s="212">
        <f t="shared" si="14"/>
        <v>0</v>
      </c>
      <c r="T8" s="213">
        <f t="shared" si="14"/>
        <v>0</v>
      </c>
      <c r="U8" s="222">
        <f t="shared" si="14"/>
        <v>0</v>
      </c>
      <c r="V8" s="212">
        <f t="shared" si="14"/>
        <v>0</v>
      </c>
      <c r="W8" s="212">
        <f t="shared" si="14"/>
        <v>0</v>
      </c>
      <c r="X8" s="212">
        <f t="shared" si="14"/>
        <v>0</v>
      </c>
      <c r="Y8" s="212">
        <f t="shared" si="14"/>
        <v>0</v>
      </c>
      <c r="Z8" s="212">
        <f t="shared" si="14"/>
        <v>0</v>
      </c>
      <c r="AA8" s="213">
        <f t="shared" si="14"/>
        <v>0</v>
      </c>
      <c r="AB8" s="715"/>
    </row>
    <row r="9" spans="1:28" s="65" customFormat="1" ht="15.75" thickBot="1" x14ac:dyDescent="0.3">
      <c r="A9" s="227" t="s">
        <v>279</v>
      </c>
      <c r="B9" s="228">
        <f>ROUND((B8/5),1)</f>
        <v>0</v>
      </c>
      <c r="C9" s="228">
        <f t="shared" ref="C9:F9" si="15">ROUND((C8/5),1)</f>
        <v>3.4</v>
      </c>
      <c r="D9" s="228">
        <f t="shared" si="15"/>
        <v>0</v>
      </c>
      <c r="E9" s="228">
        <f t="shared" si="15"/>
        <v>3.4</v>
      </c>
      <c r="F9" s="229">
        <f t="shared" si="15"/>
        <v>0</v>
      </c>
      <c r="G9" s="223">
        <f>G8/5</f>
        <v>0.73229199999999994</v>
      </c>
      <c r="H9" s="218">
        <f t="shared" ref="H9:AA9" si="16">H8/5</f>
        <v>2.132752</v>
      </c>
      <c r="I9" s="218">
        <f t="shared" si="16"/>
        <v>0.35360000000000003</v>
      </c>
      <c r="J9" s="218">
        <f t="shared" si="16"/>
        <v>0.13117200000000001</v>
      </c>
      <c r="K9" s="218">
        <f t="shared" si="16"/>
        <v>1.5028000000000003E-2</v>
      </c>
      <c r="L9" s="218">
        <f t="shared" si="16"/>
        <v>3.5156E-2</v>
      </c>
      <c r="M9" s="219">
        <f t="shared" si="16"/>
        <v>0</v>
      </c>
      <c r="N9" s="223">
        <f t="shared" si="16"/>
        <v>0</v>
      </c>
      <c r="O9" s="218">
        <f t="shared" si="16"/>
        <v>0</v>
      </c>
      <c r="P9" s="218">
        <f t="shared" si="16"/>
        <v>0</v>
      </c>
      <c r="Q9" s="218">
        <f t="shared" si="16"/>
        <v>0</v>
      </c>
      <c r="R9" s="218">
        <f t="shared" si="16"/>
        <v>0</v>
      </c>
      <c r="S9" s="218">
        <f t="shared" si="16"/>
        <v>0</v>
      </c>
      <c r="T9" s="219">
        <f t="shared" si="16"/>
        <v>0</v>
      </c>
      <c r="U9" s="223">
        <f t="shared" si="16"/>
        <v>0</v>
      </c>
      <c r="V9" s="218">
        <f t="shared" si="16"/>
        <v>0</v>
      </c>
      <c r="W9" s="218">
        <f t="shared" si="16"/>
        <v>0</v>
      </c>
      <c r="X9" s="218">
        <f t="shared" si="16"/>
        <v>0</v>
      </c>
      <c r="Y9" s="218">
        <f t="shared" si="16"/>
        <v>0</v>
      </c>
      <c r="Z9" s="218">
        <f t="shared" si="16"/>
        <v>0</v>
      </c>
      <c r="AA9" s="219">
        <f t="shared" si="16"/>
        <v>0</v>
      </c>
      <c r="AB9" s="715"/>
    </row>
    <row r="10" spans="1:28" s="65" customFormat="1" ht="15.75" thickBot="1" x14ac:dyDescent="0.3">
      <c r="A10" s="224" t="s">
        <v>280</v>
      </c>
      <c r="B10" s="225"/>
      <c r="C10" s="225"/>
      <c r="D10" s="215"/>
      <c r="E10" s="225"/>
      <c r="F10" s="226"/>
      <c r="G10" s="214">
        <f>G9*Inputs!$B$153</f>
        <v>3077.6302680757103</v>
      </c>
      <c r="H10" s="215">
        <f>H9*Inputs!$B$154</f>
        <v>61492.558969957434</v>
      </c>
      <c r="I10" s="215">
        <f>I9*Inputs!$B$155</f>
        <v>159724.32738444925</v>
      </c>
      <c r="J10" s="215">
        <f>J9*Inputs!$B$156</f>
        <v>132370.55601507067</v>
      </c>
      <c r="K10" s="215">
        <f>K9*Inputs!$B$157</f>
        <v>38418.798320876573</v>
      </c>
      <c r="L10" s="215">
        <f>L9*Inputs!$B$158</f>
        <v>200361.88221706968</v>
      </c>
      <c r="M10" s="216">
        <f>M9*Inputs!$B$159</f>
        <v>0</v>
      </c>
      <c r="N10" s="214">
        <f>N9*Inputs!$B$153</f>
        <v>0</v>
      </c>
      <c r="O10" s="215">
        <f>O9*Inputs!$B$154</f>
        <v>0</v>
      </c>
      <c r="P10" s="215">
        <f>P9*Inputs!$B$155</f>
        <v>0</v>
      </c>
      <c r="Q10" s="215">
        <f>Q9*Inputs!$B$156</f>
        <v>0</v>
      </c>
      <c r="R10" s="215">
        <f>R9*Inputs!$B$157</f>
        <v>0</v>
      </c>
      <c r="S10" s="215">
        <f>S9*Inputs!$B$158</f>
        <v>0</v>
      </c>
      <c r="T10" s="216">
        <f>T9*Inputs!$B$159</f>
        <v>0</v>
      </c>
      <c r="U10" s="214">
        <f>U9*Inputs!$B$153</f>
        <v>0</v>
      </c>
      <c r="V10" s="215">
        <f>V9*Inputs!$B$154</f>
        <v>0</v>
      </c>
      <c r="W10" s="215">
        <f>W9*Inputs!$B$155</f>
        <v>0</v>
      </c>
      <c r="X10" s="215">
        <f>X9*Inputs!$B$156</f>
        <v>0</v>
      </c>
      <c r="Y10" s="215">
        <f>Y9*Inputs!$B$157</f>
        <v>0</v>
      </c>
      <c r="Z10" s="215">
        <f>Z9*Inputs!$B$158</f>
        <v>0</v>
      </c>
      <c r="AA10" s="216">
        <f>AA9*Inputs!$B$159</f>
        <v>0</v>
      </c>
      <c r="AB10" s="80">
        <f>SUM(G10:AA10)</f>
        <v>595445.75317549938</v>
      </c>
    </row>
    <row r="11" spans="1:28" ht="15.75" thickBot="1" x14ac:dyDescent="0.3"/>
    <row r="12" spans="1:28" ht="30" x14ac:dyDescent="0.25">
      <c r="A12" s="51" t="s">
        <v>132</v>
      </c>
      <c r="B12" s="115" t="s">
        <v>276</v>
      </c>
      <c r="C12" s="115" t="s">
        <v>286</v>
      </c>
      <c r="D12" s="152" t="s">
        <v>277</v>
      </c>
      <c r="E12" s="141" t="s">
        <v>278</v>
      </c>
      <c r="F12" s="8"/>
    </row>
    <row r="13" spans="1:28" x14ac:dyDescent="0.25">
      <c r="A13" s="41">
        <v>2018</v>
      </c>
      <c r="B13" s="87">
        <f>$AB$10</f>
        <v>595445.75317549938</v>
      </c>
      <c r="C13" s="87">
        <f>B13</f>
        <v>595445.75317549938</v>
      </c>
      <c r="D13" s="113">
        <f>B13-C13</f>
        <v>0</v>
      </c>
      <c r="E13" s="124">
        <f>ROUND(D13/((1+Inputs!$B$3)^(A13-2016)),0)</f>
        <v>0</v>
      </c>
      <c r="F13" s="66"/>
      <c r="H13" s="9">
        <f>SUM(B8,'Reduced Vehicle Crashes'!B8)</f>
        <v>1149</v>
      </c>
      <c r="I13" s="9">
        <f>SUM(C8,'Reduced Vehicle Crashes'!C8)</f>
        <v>299</v>
      </c>
      <c r="J13" s="9">
        <f>SUM(D8,'Reduced Vehicle Crashes'!D8)</f>
        <v>0</v>
      </c>
      <c r="K13" s="9">
        <f>SUM(E8,'Reduced Vehicle Crashes'!E8)</f>
        <v>436</v>
      </c>
      <c r="L13" s="9">
        <f>SUM(F8,'Reduced Vehicle Crashes'!F8)</f>
        <v>0</v>
      </c>
    </row>
    <row r="14" spans="1:28" x14ac:dyDescent="0.25">
      <c r="A14" s="41">
        <v>2019</v>
      </c>
      <c r="B14" s="87">
        <f t="shared" ref="B14:B44" si="17">$AB$10</f>
        <v>595445.75317549938</v>
      </c>
      <c r="C14" s="87">
        <f>B14</f>
        <v>595445.75317549938</v>
      </c>
      <c r="D14" s="113">
        <f t="shared" ref="D14:D44" si="18">B14-C14</f>
        <v>0</v>
      </c>
      <c r="E14" s="124">
        <f>ROUND(D14/((1+Inputs!$B$3)^(A14-2016)),0)</f>
        <v>0</v>
      </c>
      <c r="F14" s="66"/>
    </row>
    <row r="15" spans="1:28" x14ac:dyDescent="0.25">
      <c r="A15" s="41">
        <v>2020</v>
      </c>
      <c r="B15" s="87">
        <f t="shared" si="17"/>
        <v>595445.75317549938</v>
      </c>
      <c r="C15" s="87">
        <f>B15*(1-Inputs!$B$162)</f>
        <v>529946.72032619442</v>
      </c>
      <c r="D15" s="113">
        <f t="shared" ref="D15" si="19">B15-C15</f>
        <v>65499.03284930496</v>
      </c>
      <c r="E15" s="124">
        <f>ROUND(D15/((1+Inputs!$B$3)^(A15-2016)),0)</f>
        <v>49969</v>
      </c>
      <c r="F15" s="66"/>
    </row>
    <row r="16" spans="1:28" x14ac:dyDescent="0.25">
      <c r="A16" s="41">
        <v>2021</v>
      </c>
      <c r="B16" s="87">
        <f t="shared" si="17"/>
        <v>595445.75317549938</v>
      </c>
      <c r="C16" s="87">
        <f>B16*(1-Inputs!$B$162)</f>
        <v>529946.72032619442</v>
      </c>
      <c r="D16" s="113">
        <f t="shared" si="18"/>
        <v>65499.03284930496</v>
      </c>
      <c r="E16" s="124">
        <f>ROUND(D16/((1+Inputs!$B$3)^(A16-2016)),0)</f>
        <v>46700</v>
      </c>
      <c r="F16" s="66"/>
      <c r="G16" s="183"/>
    </row>
    <row r="17" spans="1:7" x14ac:dyDescent="0.25">
      <c r="A17" s="41">
        <v>2022</v>
      </c>
      <c r="B17" s="87">
        <f t="shared" si="17"/>
        <v>595445.75317549938</v>
      </c>
      <c r="C17" s="87">
        <f>B17*(1-Inputs!$B$162)</f>
        <v>529946.72032619442</v>
      </c>
      <c r="D17" s="113">
        <f t="shared" si="18"/>
        <v>65499.03284930496</v>
      </c>
      <c r="E17" s="124">
        <f>ROUND(D17/((1+Inputs!$B$3)^(A17-2016)),0)</f>
        <v>43645</v>
      </c>
      <c r="F17" s="66"/>
      <c r="G17" s="183"/>
    </row>
    <row r="18" spans="1:7" x14ac:dyDescent="0.25">
      <c r="A18" s="41">
        <v>2023</v>
      </c>
      <c r="B18" s="87">
        <f t="shared" si="17"/>
        <v>595445.75317549938</v>
      </c>
      <c r="C18" s="87">
        <f>B18*(1-Inputs!$B$162)</f>
        <v>529946.72032619442</v>
      </c>
      <c r="D18" s="113">
        <f t="shared" si="18"/>
        <v>65499.03284930496</v>
      </c>
      <c r="E18" s="124">
        <f>ROUND(D18/((1+Inputs!$B$3)^(A18-2016)),0)</f>
        <v>40790</v>
      </c>
      <c r="F18" s="66"/>
      <c r="G18" s="183"/>
    </row>
    <row r="19" spans="1:7" x14ac:dyDescent="0.25">
      <c r="A19" s="41">
        <v>2024</v>
      </c>
      <c r="B19" s="87">
        <f t="shared" si="17"/>
        <v>595445.75317549938</v>
      </c>
      <c r="C19" s="87">
        <f>B19*(1-Inputs!$B$162)</f>
        <v>529946.72032619442</v>
      </c>
      <c r="D19" s="113">
        <f t="shared" si="18"/>
        <v>65499.03284930496</v>
      </c>
      <c r="E19" s="124">
        <f>ROUND(D19/((1+Inputs!$B$3)^(A19-2016)),0)</f>
        <v>38121</v>
      </c>
      <c r="F19" s="66"/>
      <c r="G19" s="183"/>
    </row>
    <row r="20" spans="1:7" x14ac:dyDescent="0.25">
      <c r="A20" s="41">
        <v>2025</v>
      </c>
      <c r="B20" s="87">
        <f t="shared" si="17"/>
        <v>595445.75317549938</v>
      </c>
      <c r="C20" s="87">
        <f>B20*(1-Inputs!$B$162)</f>
        <v>529946.72032619442</v>
      </c>
      <c r="D20" s="113">
        <f t="shared" si="18"/>
        <v>65499.03284930496</v>
      </c>
      <c r="E20" s="124">
        <f>ROUND(D20/((1+Inputs!$B$3)^(A20-2016)),0)</f>
        <v>35627</v>
      </c>
      <c r="F20" s="66"/>
      <c r="G20" s="183"/>
    </row>
    <row r="21" spans="1:7" x14ac:dyDescent="0.25">
      <c r="A21" s="41">
        <v>2026</v>
      </c>
      <c r="B21" s="87">
        <f t="shared" si="17"/>
        <v>595445.75317549938</v>
      </c>
      <c r="C21" s="87">
        <f>B21*(1-Inputs!$B$162)</f>
        <v>529946.72032619442</v>
      </c>
      <c r="D21" s="113">
        <f t="shared" si="18"/>
        <v>65499.03284930496</v>
      </c>
      <c r="E21" s="124">
        <f>ROUND(D21/((1+Inputs!$B$3)^(A21-2016)),0)</f>
        <v>33296</v>
      </c>
      <c r="F21" s="66"/>
      <c r="G21" s="183"/>
    </row>
    <row r="22" spans="1:7" x14ac:dyDescent="0.25">
      <c r="A22" s="41">
        <v>2027</v>
      </c>
      <c r="B22" s="87">
        <f t="shared" si="17"/>
        <v>595445.75317549938</v>
      </c>
      <c r="C22" s="87">
        <f>B22*(1-Inputs!$B$162)</f>
        <v>529946.72032619442</v>
      </c>
      <c r="D22" s="113">
        <f t="shared" si="18"/>
        <v>65499.03284930496</v>
      </c>
      <c r="E22" s="124">
        <f>ROUND(D22/((1+Inputs!$B$3)^(A22-2016)),0)</f>
        <v>31118</v>
      </c>
      <c r="F22" s="66"/>
      <c r="G22" s="183"/>
    </row>
    <row r="23" spans="1:7" x14ac:dyDescent="0.25">
      <c r="A23" s="41">
        <v>2028</v>
      </c>
      <c r="B23" s="87">
        <f t="shared" si="17"/>
        <v>595445.75317549938</v>
      </c>
      <c r="C23" s="87">
        <f>B23*(1-Inputs!$B$162)</f>
        <v>529946.72032619442</v>
      </c>
      <c r="D23" s="113">
        <f t="shared" si="18"/>
        <v>65499.03284930496</v>
      </c>
      <c r="E23" s="124">
        <f>ROUND(D23/((1+Inputs!$B$3)^(A23-2016)),0)</f>
        <v>29082</v>
      </c>
      <c r="F23" s="66"/>
      <c r="G23" s="183"/>
    </row>
    <row r="24" spans="1:7" x14ac:dyDescent="0.25">
      <c r="A24" s="41">
        <v>2029</v>
      </c>
      <c r="B24" s="87">
        <f t="shared" si="17"/>
        <v>595445.75317549938</v>
      </c>
      <c r="C24" s="87">
        <f>B24*(1-Inputs!$B$162)</f>
        <v>529946.72032619442</v>
      </c>
      <c r="D24" s="113">
        <f t="shared" si="18"/>
        <v>65499.03284930496</v>
      </c>
      <c r="E24" s="124">
        <f>ROUND(D24/((1+Inputs!$B$3)^(A24-2016)),0)</f>
        <v>27180</v>
      </c>
      <c r="F24" s="66"/>
      <c r="G24" s="183"/>
    </row>
    <row r="25" spans="1:7" x14ac:dyDescent="0.25">
      <c r="A25" s="41">
        <v>2030</v>
      </c>
      <c r="B25" s="87">
        <f t="shared" si="17"/>
        <v>595445.75317549938</v>
      </c>
      <c r="C25" s="87">
        <f>B25*(1-Inputs!$B$162)</f>
        <v>529946.72032619442</v>
      </c>
      <c r="D25" s="113">
        <f t="shared" si="18"/>
        <v>65499.03284930496</v>
      </c>
      <c r="E25" s="124">
        <f>ROUND(D25/((1+Inputs!$B$3)^(A25-2016)),0)</f>
        <v>25402</v>
      </c>
      <c r="F25" s="66"/>
      <c r="G25" s="183"/>
    </row>
    <row r="26" spans="1:7" x14ac:dyDescent="0.25">
      <c r="A26" s="41">
        <v>2031</v>
      </c>
      <c r="B26" s="87">
        <f t="shared" si="17"/>
        <v>595445.75317549938</v>
      </c>
      <c r="C26" s="87">
        <f>B26*(1-Inputs!$B$162)</f>
        <v>529946.72032619442</v>
      </c>
      <c r="D26" s="113">
        <f t="shared" si="18"/>
        <v>65499.03284930496</v>
      </c>
      <c r="E26" s="124">
        <f>ROUND(D26/((1+Inputs!$B$3)^(A26-2016)),0)</f>
        <v>23740</v>
      </c>
      <c r="F26" s="66"/>
      <c r="G26" s="183"/>
    </row>
    <row r="27" spans="1:7" x14ac:dyDescent="0.25">
      <c r="A27" s="41">
        <v>2032</v>
      </c>
      <c r="B27" s="87">
        <f t="shared" si="17"/>
        <v>595445.75317549938</v>
      </c>
      <c r="C27" s="87">
        <f>B27*(1-Inputs!$B$162)</f>
        <v>529946.72032619442</v>
      </c>
      <c r="D27" s="113">
        <f t="shared" si="18"/>
        <v>65499.03284930496</v>
      </c>
      <c r="E27" s="124">
        <f>ROUND(D27/((1+Inputs!$B$3)^(A27-2016)),0)</f>
        <v>22187</v>
      </c>
      <c r="F27" s="66"/>
      <c r="G27" s="183"/>
    </row>
    <row r="28" spans="1:7" x14ac:dyDescent="0.25">
      <c r="A28" s="41">
        <v>2033</v>
      </c>
      <c r="B28" s="87">
        <f t="shared" si="17"/>
        <v>595445.75317549938</v>
      </c>
      <c r="C28" s="87">
        <f>B28*(1-Inputs!$B$162)</f>
        <v>529946.72032619442</v>
      </c>
      <c r="D28" s="113">
        <f t="shared" si="18"/>
        <v>65499.03284930496</v>
      </c>
      <c r="E28" s="124">
        <f>ROUND(D28/((1+Inputs!$B$3)^(A28-2016)),0)</f>
        <v>20735</v>
      </c>
      <c r="F28" s="66"/>
      <c r="G28" s="183"/>
    </row>
    <row r="29" spans="1:7" x14ac:dyDescent="0.25">
      <c r="A29" s="41">
        <v>2034</v>
      </c>
      <c r="B29" s="87">
        <f t="shared" si="17"/>
        <v>595445.75317549938</v>
      </c>
      <c r="C29" s="87">
        <f>B29*(1-Inputs!$B$162)</f>
        <v>529946.72032619442</v>
      </c>
      <c r="D29" s="113">
        <f t="shared" si="18"/>
        <v>65499.03284930496</v>
      </c>
      <c r="E29" s="124">
        <f>ROUND(D29/((1+Inputs!$B$3)^(A29-2016)),0)</f>
        <v>19379</v>
      </c>
      <c r="F29" s="66"/>
      <c r="G29" s="183"/>
    </row>
    <row r="30" spans="1:7" x14ac:dyDescent="0.25">
      <c r="A30" s="41">
        <v>2035</v>
      </c>
      <c r="B30" s="87">
        <f t="shared" si="17"/>
        <v>595445.75317549938</v>
      </c>
      <c r="C30" s="87">
        <f>B30*(1-Inputs!$B$162)</f>
        <v>529946.72032619442</v>
      </c>
      <c r="D30" s="113">
        <f t="shared" si="18"/>
        <v>65499.03284930496</v>
      </c>
      <c r="E30" s="124">
        <f>ROUND(D30/((1+Inputs!$B$3)^(A30-2016)),0)</f>
        <v>18111</v>
      </c>
      <c r="F30" s="66"/>
      <c r="G30" s="183"/>
    </row>
    <row r="31" spans="1:7" x14ac:dyDescent="0.25">
      <c r="A31" s="41">
        <v>2036</v>
      </c>
      <c r="B31" s="87">
        <f t="shared" si="17"/>
        <v>595445.75317549938</v>
      </c>
      <c r="C31" s="87">
        <f>B31*(1-Inputs!$B$162)</f>
        <v>529946.72032619442</v>
      </c>
      <c r="D31" s="113">
        <f t="shared" si="18"/>
        <v>65499.03284930496</v>
      </c>
      <c r="E31" s="124">
        <f>ROUND(D31/((1+Inputs!$B$3)^(A31-2016)),0)</f>
        <v>16926</v>
      </c>
      <c r="F31" s="66"/>
      <c r="G31" s="183"/>
    </row>
    <row r="32" spans="1:7" x14ac:dyDescent="0.25">
      <c r="A32" s="41">
        <v>2037</v>
      </c>
      <c r="B32" s="87">
        <f t="shared" si="17"/>
        <v>595445.75317549938</v>
      </c>
      <c r="C32" s="87">
        <f>B32*(1-Inputs!$B$162)</f>
        <v>529946.72032619442</v>
      </c>
      <c r="D32" s="113">
        <f t="shared" si="18"/>
        <v>65499.03284930496</v>
      </c>
      <c r="E32" s="124">
        <f>ROUND(D32/((1+Inputs!$B$3)^(A32-2016)),0)</f>
        <v>15819</v>
      </c>
      <c r="F32" s="66"/>
      <c r="G32" s="183"/>
    </row>
    <row r="33" spans="1:7" x14ac:dyDescent="0.25">
      <c r="A33" s="41">
        <v>2038</v>
      </c>
      <c r="B33" s="87">
        <f t="shared" si="17"/>
        <v>595445.75317549938</v>
      </c>
      <c r="C33" s="87">
        <f>B33*(1-Inputs!$B$162)</f>
        <v>529946.72032619442</v>
      </c>
      <c r="D33" s="113">
        <f t="shared" si="18"/>
        <v>65499.03284930496</v>
      </c>
      <c r="E33" s="124">
        <f>ROUND(D33/((1+Inputs!$B$3)^(A33-2016)),0)</f>
        <v>14784</v>
      </c>
      <c r="F33" s="66"/>
      <c r="G33" s="183"/>
    </row>
    <row r="34" spans="1:7" x14ac:dyDescent="0.25">
      <c r="A34" s="41">
        <v>2039</v>
      </c>
      <c r="B34" s="87">
        <f t="shared" si="17"/>
        <v>595445.75317549938</v>
      </c>
      <c r="C34" s="87">
        <f>B34*(1-Inputs!$B$162)</f>
        <v>529946.72032619442</v>
      </c>
      <c r="D34" s="113">
        <f t="shared" si="18"/>
        <v>65499.03284930496</v>
      </c>
      <c r="E34" s="124">
        <f>ROUND(D34/((1+Inputs!$B$3)^(A34-2016)),0)</f>
        <v>13817</v>
      </c>
      <c r="F34" s="66"/>
      <c r="G34" s="183"/>
    </row>
    <row r="35" spans="1:7" x14ac:dyDescent="0.25">
      <c r="A35" s="41">
        <v>2040</v>
      </c>
      <c r="B35" s="87">
        <f t="shared" si="17"/>
        <v>595445.75317549938</v>
      </c>
      <c r="C35" s="87">
        <f>B35*(1-Inputs!$B$162)</f>
        <v>529946.72032619442</v>
      </c>
      <c r="D35" s="113">
        <f t="shared" si="18"/>
        <v>65499.03284930496</v>
      </c>
      <c r="E35" s="124">
        <f>ROUND(D35/((1+Inputs!$B$3)^(A35-2016)),0)</f>
        <v>12913</v>
      </c>
      <c r="F35" s="66"/>
      <c r="G35" s="183"/>
    </row>
    <row r="36" spans="1:7" x14ac:dyDescent="0.25">
      <c r="A36" s="41">
        <v>2041</v>
      </c>
      <c r="B36" s="87">
        <f t="shared" si="17"/>
        <v>595445.75317549938</v>
      </c>
      <c r="C36" s="87">
        <f>B36*(1-Inputs!$B$162)</f>
        <v>529946.72032619442</v>
      </c>
      <c r="D36" s="113">
        <f t="shared" si="18"/>
        <v>65499.03284930496</v>
      </c>
      <c r="E36" s="124">
        <f>ROUND(D36/((1+Inputs!$B$3)^(A36-2016)),0)</f>
        <v>12068</v>
      </c>
      <c r="F36" s="66"/>
      <c r="G36" s="183"/>
    </row>
    <row r="37" spans="1:7" x14ac:dyDescent="0.25">
      <c r="A37" s="41">
        <v>2042</v>
      </c>
      <c r="B37" s="87">
        <f t="shared" si="17"/>
        <v>595445.75317549938</v>
      </c>
      <c r="C37" s="87">
        <f>B37*(1-Inputs!$B$162)</f>
        <v>529946.72032619442</v>
      </c>
      <c r="D37" s="113">
        <f t="shared" si="18"/>
        <v>65499.03284930496</v>
      </c>
      <c r="E37" s="124">
        <f>ROUND(D37/((1+Inputs!$B$3)^(A37-2016)),0)</f>
        <v>11279</v>
      </c>
      <c r="F37" s="66"/>
      <c r="G37" s="183"/>
    </row>
    <row r="38" spans="1:7" x14ac:dyDescent="0.25">
      <c r="A38" s="41">
        <v>2043</v>
      </c>
      <c r="B38" s="87">
        <f t="shared" si="17"/>
        <v>595445.75317549938</v>
      </c>
      <c r="C38" s="87">
        <f>B38*(1-Inputs!$B$162)</f>
        <v>529946.72032619442</v>
      </c>
      <c r="D38" s="113">
        <f t="shared" si="18"/>
        <v>65499.03284930496</v>
      </c>
      <c r="E38" s="124">
        <f>ROUND(D38/((1+Inputs!$B$3)^(A38-2016)),0)</f>
        <v>10541</v>
      </c>
      <c r="F38" s="66"/>
      <c r="G38" s="183"/>
    </row>
    <row r="39" spans="1:7" ht="15" customHeight="1" x14ac:dyDescent="0.25">
      <c r="A39" s="41">
        <v>2044</v>
      </c>
      <c r="B39" s="87">
        <f t="shared" si="17"/>
        <v>595445.75317549938</v>
      </c>
      <c r="C39" s="87">
        <f>B39*(1-Inputs!$B$162)</f>
        <v>529946.72032619442</v>
      </c>
      <c r="D39" s="113">
        <f t="shared" si="18"/>
        <v>65499.03284930496</v>
      </c>
      <c r="E39" s="124">
        <f>ROUND(D39/((1+Inputs!$B$3)^(A39-2016)),0)</f>
        <v>9851</v>
      </c>
      <c r="F39" s="66"/>
      <c r="G39" s="183"/>
    </row>
    <row r="40" spans="1:7" ht="15" customHeight="1" x14ac:dyDescent="0.25">
      <c r="A40" s="41">
        <v>2045</v>
      </c>
      <c r="B40" s="87">
        <f t="shared" si="17"/>
        <v>595445.75317549938</v>
      </c>
      <c r="C40" s="87">
        <f>B40*(1-Inputs!$B$162)</f>
        <v>529946.72032619442</v>
      </c>
      <c r="D40" s="113">
        <f t="shared" si="18"/>
        <v>65499.03284930496</v>
      </c>
      <c r="E40" s="124">
        <f>ROUND(D40/((1+Inputs!$B$3)^(A40-2016)),0)</f>
        <v>9207</v>
      </c>
      <c r="F40" s="66"/>
      <c r="G40" s="183"/>
    </row>
    <row r="41" spans="1:7" ht="15" customHeight="1" x14ac:dyDescent="0.25">
      <c r="A41" s="41">
        <v>2046</v>
      </c>
      <c r="B41" s="87">
        <f t="shared" si="17"/>
        <v>595445.75317549938</v>
      </c>
      <c r="C41" s="87">
        <f>B41*(1-Inputs!$B$162)</f>
        <v>529946.72032619442</v>
      </c>
      <c r="D41" s="113">
        <f t="shared" si="18"/>
        <v>65499.03284930496</v>
      </c>
      <c r="E41" s="124">
        <f>ROUND(D41/((1+Inputs!$B$3)^(A41-2016)),0)</f>
        <v>8604</v>
      </c>
      <c r="F41" s="66"/>
      <c r="G41" s="183"/>
    </row>
    <row r="42" spans="1:7" ht="15" customHeight="1" x14ac:dyDescent="0.25">
      <c r="A42" s="41">
        <v>2047</v>
      </c>
      <c r="B42" s="87">
        <f t="shared" si="17"/>
        <v>595445.75317549938</v>
      </c>
      <c r="C42" s="87">
        <f>B42*(1-Inputs!$B$162)</f>
        <v>529946.72032619442</v>
      </c>
      <c r="D42" s="113">
        <f t="shared" si="18"/>
        <v>65499.03284930496</v>
      </c>
      <c r="E42" s="124">
        <f>ROUND(D42/((1+Inputs!$B$3)^(A42-2016)),0)</f>
        <v>8042</v>
      </c>
      <c r="F42" s="66"/>
      <c r="G42" s="183"/>
    </row>
    <row r="43" spans="1:7" ht="15" customHeight="1" x14ac:dyDescent="0.25">
      <c r="A43" s="41">
        <v>2048</v>
      </c>
      <c r="B43" s="87">
        <f t="shared" si="17"/>
        <v>595445.75317549938</v>
      </c>
      <c r="C43" s="87">
        <f>B43*(1-Inputs!$B$162)</f>
        <v>529946.72032619442</v>
      </c>
      <c r="D43" s="113">
        <f t="shared" si="18"/>
        <v>65499.03284930496</v>
      </c>
      <c r="E43" s="124">
        <f>ROUND(D43/((1+Inputs!$B$3)^(A43-2016)),0)</f>
        <v>7515</v>
      </c>
      <c r="F43" s="66"/>
      <c r="G43" s="183"/>
    </row>
    <row r="44" spans="1:7" ht="15" customHeight="1" thickBot="1" x14ac:dyDescent="0.3">
      <c r="A44" s="41">
        <v>2049</v>
      </c>
      <c r="B44" s="87">
        <f t="shared" si="17"/>
        <v>595445.75317549938</v>
      </c>
      <c r="C44" s="87">
        <f>B44*(1-Inputs!$B$162)</f>
        <v>529946.72032619442</v>
      </c>
      <c r="D44" s="113">
        <f t="shared" si="18"/>
        <v>65499.03284930496</v>
      </c>
      <c r="E44" s="124">
        <f>ROUND(D44/((1+Inputs!$B$3)^(A44-2016)),0)</f>
        <v>7024</v>
      </c>
      <c r="F44" s="66"/>
      <c r="G44" s="183"/>
    </row>
    <row r="45" spans="1:7" ht="15" customHeight="1" thickBot="1" x14ac:dyDescent="0.3">
      <c r="A45" s="52" t="s">
        <v>165</v>
      </c>
      <c r="B45" s="77">
        <f>SUM(B13:B44)</f>
        <v>19054264.101615977</v>
      </c>
      <c r="C45" s="77">
        <f>SUM(C13:C44)</f>
        <v>17089293.116136834</v>
      </c>
      <c r="D45" s="78">
        <f>SUM(D13:D44)</f>
        <v>1964970.9854791472</v>
      </c>
      <c r="E45" s="121">
        <f>SUM(E13:E44)</f>
        <v>663472</v>
      </c>
      <c r="F45" s="81"/>
    </row>
    <row r="46" spans="1:7" ht="15" customHeight="1" x14ac:dyDescent="0.25"/>
    <row r="47" spans="1:7" ht="15" customHeight="1" x14ac:dyDescent="0.25"/>
    <row r="48" spans="1:7" ht="15" customHeight="1" x14ac:dyDescent="0.25"/>
  </sheetData>
  <sheetProtection password="891C" sheet="1" objects="1" scenarios="1"/>
  <mergeCells count="5">
    <mergeCell ref="G1:M1"/>
    <mergeCell ref="N1:T1"/>
    <mergeCell ref="AB1:AB9"/>
    <mergeCell ref="A1:F1"/>
    <mergeCell ref="U1:AA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zoomScale="80" zoomScaleNormal="80" workbookViewId="0">
      <selection activeCell="G24" sqref="G24"/>
    </sheetView>
  </sheetViews>
  <sheetFormatPr defaultRowHeight="15" x14ac:dyDescent="0.25"/>
  <cols>
    <col min="1" max="1" width="18.42578125" style="10" customWidth="1"/>
    <col min="2" max="2" width="12.7109375" style="10" bestFit="1" customWidth="1"/>
    <col min="3" max="4" width="12.7109375" style="10" customWidth="1"/>
    <col min="5" max="5" width="12.7109375" style="10" bestFit="1" customWidth="1"/>
    <col min="6" max="6" width="11.140625" style="10" customWidth="1"/>
    <col min="7" max="7" width="9.5703125" style="10" bestFit="1" customWidth="1"/>
    <col min="8" max="8" width="12.85546875" style="10" customWidth="1"/>
    <col min="9" max="10" width="11.28515625" style="10" bestFit="1" customWidth="1"/>
    <col min="11" max="11" width="9.5703125" style="10" bestFit="1" customWidth="1"/>
    <col min="12" max="12" width="11" style="10" customWidth="1"/>
    <col min="13" max="13" width="9.5703125" style="10" bestFit="1" customWidth="1"/>
    <col min="14" max="14" width="10.85546875" style="10" customWidth="1"/>
    <col min="15" max="20" width="9.5703125" style="10" bestFit="1" customWidth="1"/>
    <col min="21" max="27" width="9.5703125" style="10" customWidth="1"/>
    <col min="28" max="28" width="11.5703125" style="10" customWidth="1"/>
    <col min="29" max="16384" width="9.140625" style="10"/>
  </cols>
  <sheetData>
    <row r="1" spans="1:28" s="8" customFormat="1" x14ac:dyDescent="0.25">
      <c r="A1" s="692" t="s">
        <v>283</v>
      </c>
      <c r="B1" s="693"/>
      <c r="C1" s="693"/>
      <c r="D1" s="693"/>
      <c r="E1" s="693"/>
      <c r="F1" s="694"/>
      <c r="G1" s="692" t="s">
        <v>268</v>
      </c>
      <c r="H1" s="693"/>
      <c r="I1" s="693"/>
      <c r="J1" s="693"/>
      <c r="K1" s="693"/>
      <c r="L1" s="693"/>
      <c r="M1" s="694"/>
      <c r="N1" s="692" t="s">
        <v>275</v>
      </c>
      <c r="O1" s="693"/>
      <c r="P1" s="693"/>
      <c r="Q1" s="693"/>
      <c r="R1" s="693"/>
      <c r="S1" s="693"/>
      <c r="T1" s="694"/>
      <c r="U1" s="692" t="s">
        <v>287</v>
      </c>
      <c r="V1" s="693"/>
      <c r="W1" s="693"/>
      <c r="X1" s="693"/>
      <c r="Y1" s="693"/>
      <c r="Z1" s="693"/>
      <c r="AA1" s="694"/>
      <c r="AB1" s="714" t="s">
        <v>1</v>
      </c>
    </row>
    <row r="2" spans="1:28" s="8" customFormat="1" ht="30" x14ac:dyDescent="0.25">
      <c r="A2" s="69" t="s">
        <v>132</v>
      </c>
      <c r="B2" s="101" t="s">
        <v>258</v>
      </c>
      <c r="C2" s="101" t="s">
        <v>259</v>
      </c>
      <c r="D2" s="101" t="s">
        <v>281</v>
      </c>
      <c r="E2" s="101" t="s">
        <v>260</v>
      </c>
      <c r="F2" s="72" t="s">
        <v>282</v>
      </c>
      <c r="G2" s="69" t="s">
        <v>261</v>
      </c>
      <c r="H2" s="101" t="s">
        <v>262</v>
      </c>
      <c r="I2" s="101" t="s">
        <v>263</v>
      </c>
      <c r="J2" s="101" t="s">
        <v>264</v>
      </c>
      <c r="K2" s="101" t="s">
        <v>265</v>
      </c>
      <c r="L2" s="101" t="s">
        <v>266</v>
      </c>
      <c r="M2" s="72" t="s">
        <v>267</v>
      </c>
      <c r="N2" s="69" t="s">
        <v>261</v>
      </c>
      <c r="O2" s="101" t="s">
        <v>262</v>
      </c>
      <c r="P2" s="101" t="s">
        <v>263</v>
      </c>
      <c r="Q2" s="101" t="s">
        <v>264</v>
      </c>
      <c r="R2" s="101" t="s">
        <v>265</v>
      </c>
      <c r="S2" s="101" t="s">
        <v>266</v>
      </c>
      <c r="T2" s="72" t="s">
        <v>267</v>
      </c>
      <c r="U2" s="69" t="s">
        <v>261</v>
      </c>
      <c r="V2" s="101" t="s">
        <v>262</v>
      </c>
      <c r="W2" s="101" t="s">
        <v>263</v>
      </c>
      <c r="X2" s="101" t="s">
        <v>264</v>
      </c>
      <c r="Y2" s="101" t="s">
        <v>265</v>
      </c>
      <c r="Z2" s="101" t="s">
        <v>266</v>
      </c>
      <c r="AA2" s="72" t="s">
        <v>267</v>
      </c>
      <c r="AB2" s="715"/>
    </row>
    <row r="3" spans="1:28" x14ac:dyDescent="0.25">
      <c r="A3" s="70">
        <v>2011</v>
      </c>
      <c r="B3" s="50">
        <f>'KSP Crash Data'!C42-SUM(C3,D3)</f>
        <v>189</v>
      </c>
      <c r="C3" s="50">
        <f>'KSP Crash Data'!H42</f>
        <v>54</v>
      </c>
      <c r="D3" s="50">
        <f>'KSP Crash Data'!I42</f>
        <v>0</v>
      </c>
      <c r="E3" s="50">
        <f>'KSP Crash Data'!G42</f>
        <v>83</v>
      </c>
      <c r="F3" s="230">
        <f>'KSP Crash Data'!F42</f>
        <v>0</v>
      </c>
      <c r="G3" s="82">
        <f t="shared" ref="G3:G7" si="0">C3*0.21538</f>
        <v>11.630519999999999</v>
      </c>
      <c r="H3" s="83">
        <f t="shared" ref="H3:H7" si="1">C3*0.62728</f>
        <v>33.87312</v>
      </c>
      <c r="I3" s="83">
        <f t="shared" ref="I3:I7" si="2">C3*0.104</f>
        <v>5.6159999999999997</v>
      </c>
      <c r="J3" s="83">
        <f t="shared" ref="J3:J7" si="3">C3*0.03858</f>
        <v>2.0833200000000001</v>
      </c>
      <c r="K3" s="83">
        <f t="shared" ref="K3:K7" si="4">C3*0.00442</f>
        <v>0.23868</v>
      </c>
      <c r="L3" s="83">
        <f t="shared" ref="L3:L7" si="5">C3*0.01034</f>
        <v>0.55835999999999997</v>
      </c>
      <c r="M3" s="84">
        <v>0</v>
      </c>
      <c r="N3" s="82">
        <f t="shared" ref="N3:N7" si="6">B3*0.92534</f>
        <v>174.88926000000001</v>
      </c>
      <c r="O3" s="83">
        <f t="shared" ref="O3:O7" si="7">B3*0.07257</f>
        <v>13.715729999999999</v>
      </c>
      <c r="P3" s="83">
        <f t="shared" ref="P3:P7" si="8">B3*0.00198</f>
        <v>0.37422</v>
      </c>
      <c r="Q3" s="83">
        <f t="shared" ref="Q3:Q7" si="9">B3*0.00008</f>
        <v>1.5120000000000001E-2</v>
      </c>
      <c r="R3" s="83">
        <f t="shared" ref="R3:R7" si="10">B3*0</f>
        <v>0</v>
      </c>
      <c r="S3" s="83">
        <f t="shared" ref="S3:S7" si="11">B3*0.00003</f>
        <v>5.6700000000000006E-3</v>
      </c>
      <c r="T3" s="84">
        <v>0</v>
      </c>
      <c r="U3" s="82">
        <v>0</v>
      </c>
      <c r="V3" s="83">
        <v>0</v>
      </c>
      <c r="W3" s="83">
        <v>0</v>
      </c>
      <c r="X3" s="83">
        <v>0</v>
      </c>
      <c r="Y3" s="83">
        <v>0</v>
      </c>
      <c r="Z3" s="83">
        <v>0</v>
      </c>
      <c r="AA3" s="84">
        <f t="shared" ref="AA3:AA7" si="12">F3*1</f>
        <v>0</v>
      </c>
      <c r="AB3" s="715"/>
    </row>
    <row r="4" spans="1:28" x14ac:dyDescent="0.25">
      <c r="A4" s="70">
        <f t="shared" ref="A4:A7" si="13">1+A3</f>
        <v>2012</v>
      </c>
      <c r="B4" s="50">
        <f>'KSP Crash Data'!C43-SUM(C4,D4)</f>
        <v>212</v>
      </c>
      <c r="C4" s="50">
        <f>'KSP Crash Data'!H43</f>
        <v>58</v>
      </c>
      <c r="D4" s="50">
        <f>'KSP Crash Data'!I43</f>
        <v>0</v>
      </c>
      <c r="E4" s="50">
        <f>'KSP Crash Data'!G43</f>
        <v>89</v>
      </c>
      <c r="F4" s="230">
        <f>'KSP Crash Data'!F43</f>
        <v>0</v>
      </c>
      <c r="G4" s="82">
        <f t="shared" si="0"/>
        <v>12.492039999999999</v>
      </c>
      <c r="H4" s="83">
        <f t="shared" si="1"/>
        <v>36.382239999999996</v>
      </c>
      <c r="I4" s="83">
        <f t="shared" si="2"/>
        <v>6.032</v>
      </c>
      <c r="J4" s="83">
        <f t="shared" si="3"/>
        <v>2.2376400000000003</v>
      </c>
      <c r="K4" s="83">
        <f t="shared" si="4"/>
        <v>0.25636000000000003</v>
      </c>
      <c r="L4" s="83">
        <f t="shared" si="5"/>
        <v>0.59972000000000003</v>
      </c>
      <c r="M4" s="84">
        <v>0</v>
      </c>
      <c r="N4" s="82">
        <f t="shared" si="6"/>
        <v>196.17208000000002</v>
      </c>
      <c r="O4" s="83">
        <f t="shared" si="7"/>
        <v>15.384839999999999</v>
      </c>
      <c r="P4" s="83">
        <f t="shared" si="8"/>
        <v>0.41976000000000002</v>
      </c>
      <c r="Q4" s="83">
        <f t="shared" si="9"/>
        <v>1.6960000000000003E-2</v>
      </c>
      <c r="R4" s="83">
        <f t="shared" si="10"/>
        <v>0</v>
      </c>
      <c r="S4" s="83">
        <f t="shared" si="11"/>
        <v>6.3600000000000002E-3</v>
      </c>
      <c r="T4" s="84">
        <v>0</v>
      </c>
      <c r="U4" s="82">
        <v>0</v>
      </c>
      <c r="V4" s="83">
        <v>0</v>
      </c>
      <c r="W4" s="83">
        <v>0</v>
      </c>
      <c r="X4" s="83">
        <v>0</v>
      </c>
      <c r="Y4" s="83">
        <v>0</v>
      </c>
      <c r="Z4" s="83">
        <v>0</v>
      </c>
      <c r="AA4" s="84">
        <f t="shared" si="12"/>
        <v>0</v>
      </c>
      <c r="AB4" s="715"/>
    </row>
    <row r="5" spans="1:28" x14ac:dyDescent="0.25">
      <c r="A5" s="70">
        <f t="shared" si="13"/>
        <v>2013</v>
      </c>
      <c r="B5" s="50">
        <f>'KSP Crash Data'!C44-SUM(C5,D5)</f>
        <v>228</v>
      </c>
      <c r="C5" s="50">
        <f>'KSP Crash Data'!H44</f>
        <v>62</v>
      </c>
      <c r="D5" s="50">
        <f>'KSP Crash Data'!I44</f>
        <v>0</v>
      </c>
      <c r="E5" s="50">
        <f>'KSP Crash Data'!G44</f>
        <v>89</v>
      </c>
      <c r="F5" s="230">
        <f>'KSP Crash Data'!F44</f>
        <v>0</v>
      </c>
      <c r="G5" s="82">
        <f t="shared" si="0"/>
        <v>13.35356</v>
      </c>
      <c r="H5" s="83">
        <f t="shared" si="1"/>
        <v>38.891359999999999</v>
      </c>
      <c r="I5" s="83">
        <f t="shared" si="2"/>
        <v>6.4479999999999995</v>
      </c>
      <c r="J5" s="83">
        <f t="shared" si="3"/>
        <v>2.3919600000000001</v>
      </c>
      <c r="K5" s="83">
        <f t="shared" si="4"/>
        <v>0.27404000000000001</v>
      </c>
      <c r="L5" s="83">
        <f t="shared" si="5"/>
        <v>0.64107999999999998</v>
      </c>
      <c r="M5" s="84">
        <v>0</v>
      </c>
      <c r="N5" s="82">
        <f t="shared" si="6"/>
        <v>210.97752</v>
      </c>
      <c r="O5" s="83">
        <f t="shared" si="7"/>
        <v>16.545959999999997</v>
      </c>
      <c r="P5" s="83">
        <f t="shared" si="8"/>
        <v>0.45144000000000001</v>
      </c>
      <c r="Q5" s="83">
        <f t="shared" si="9"/>
        <v>1.8240000000000003E-2</v>
      </c>
      <c r="R5" s="83">
        <f t="shared" si="10"/>
        <v>0</v>
      </c>
      <c r="S5" s="83">
        <f t="shared" si="11"/>
        <v>6.8400000000000006E-3</v>
      </c>
      <c r="T5" s="84">
        <v>0</v>
      </c>
      <c r="U5" s="82">
        <v>0</v>
      </c>
      <c r="V5" s="83">
        <v>0</v>
      </c>
      <c r="W5" s="83">
        <v>0</v>
      </c>
      <c r="X5" s="83">
        <v>0</v>
      </c>
      <c r="Y5" s="83">
        <v>0</v>
      </c>
      <c r="Z5" s="83">
        <v>0</v>
      </c>
      <c r="AA5" s="84">
        <f t="shared" si="12"/>
        <v>0</v>
      </c>
      <c r="AB5" s="715"/>
    </row>
    <row r="6" spans="1:28" x14ac:dyDescent="0.25">
      <c r="A6" s="70">
        <f t="shared" si="13"/>
        <v>2014</v>
      </c>
      <c r="B6" s="50">
        <f>'KSP Crash Data'!C45-SUM(C6,D6)</f>
        <v>250</v>
      </c>
      <c r="C6" s="50">
        <f>'KSP Crash Data'!H45</f>
        <v>44</v>
      </c>
      <c r="D6" s="50">
        <f>'KSP Crash Data'!I45</f>
        <v>0</v>
      </c>
      <c r="E6" s="50">
        <f>'KSP Crash Data'!G45</f>
        <v>52</v>
      </c>
      <c r="F6" s="230">
        <f>'KSP Crash Data'!F45</f>
        <v>0</v>
      </c>
      <c r="G6" s="82">
        <f t="shared" si="0"/>
        <v>9.4767200000000003</v>
      </c>
      <c r="H6" s="83">
        <f t="shared" si="1"/>
        <v>27.600319999999996</v>
      </c>
      <c r="I6" s="83">
        <f t="shared" si="2"/>
        <v>4.5759999999999996</v>
      </c>
      <c r="J6" s="83">
        <f t="shared" si="3"/>
        <v>1.6975200000000001</v>
      </c>
      <c r="K6" s="83">
        <f t="shared" si="4"/>
        <v>0.19448000000000001</v>
      </c>
      <c r="L6" s="83">
        <f t="shared" si="5"/>
        <v>0.45496000000000003</v>
      </c>
      <c r="M6" s="84">
        <v>0</v>
      </c>
      <c r="N6" s="82">
        <f t="shared" si="6"/>
        <v>231.33500000000001</v>
      </c>
      <c r="O6" s="83">
        <f t="shared" si="7"/>
        <v>18.142499999999998</v>
      </c>
      <c r="P6" s="83">
        <f t="shared" si="8"/>
        <v>0.495</v>
      </c>
      <c r="Q6" s="83">
        <f t="shared" si="9"/>
        <v>0.02</v>
      </c>
      <c r="R6" s="83">
        <f t="shared" si="10"/>
        <v>0</v>
      </c>
      <c r="S6" s="83">
        <f t="shared" si="11"/>
        <v>7.5000000000000006E-3</v>
      </c>
      <c r="T6" s="84">
        <v>0</v>
      </c>
      <c r="U6" s="82">
        <v>0</v>
      </c>
      <c r="V6" s="83">
        <v>0</v>
      </c>
      <c r="W6" s="83">
        <v>0</v>
      </c>
      <c r="X6" s="83">
        <v>0</v>
      </c>
      <c r="Y6" s="83">
        <v>0</v>
      </c>
      <c r="Z6" s="83">
        <v>0</v>
      </c>
      <c r="AA6" s="84">
        <f t="shared" si="12"/>
        <v>0</v>
      </c>
      <c r="AB6" s="715"/>
    </row>
    <row r="7" spans="1:28" x14ac:dyDescent="0.25">
      <c r="A7" s="70">
        <f t="shared" si="13"/>
        <v>2015</v>
      </c>
      <c r="B7" s="50">
        <f>'KSP Crash Data'!C46-SUM(C7,D7)</f>
        <v>270</v>
      </c>
      <c r="C7" s="50">
        <f>'KSP Crash Data'!H46</f>
        <v>64</v>
      </c>
      <c r="D7" s="50">
        <f>'KSP Crash Data'!I46</f>
        <v>0</v>
      </c>
      <c r="E7" s="50">
        <f>'KSP Crash Data'!G46</f>
        <v>106</v>
      </c>
      <c r="F7" s="230">
        <f>'KSP Crash Data'!F46</f>
        <v>0</v>
      </c>
      <c r="G7" s="82">
        <f t="shared" si="0"/>
        <v>13.784319999999999</v>
      </c>
      <c r="H7" s="83">
        <f t="shared" si="1"/>
        <v>40.145919999999997</v>
      </c>
      <c r="I7" s="83">
        <f t="shared" si="2"/>
        <v>6.6559999999999997</v>
      </c>
      <c r="J7" s="83">
        <f t="shared" si="3"/>
        <v>2.4691200000000002</v>
      </c>
      <c r="K7" s="83">
        <f t="shared" si="4"/>
        <v>0.28288000000000002</v>
      </c>
      <c r="L7" s="83">
        <f t="shared" si="5"/>
        <v>0.66176000000000001</v>
      </c>
      <c r="M7" s="84">
        <v>0</v>
      </c>
      <c r="N7" s="82">
        <f t="shared" si="6"/>
        <v>249.84180000000001</v>
      </c>
      <c r="O7" s="83">
        <f t="shared" si="7"/>
        <v>19.593899999999998</v>
      </c>
      <c r="P7" s="83">
        <f t="shared" si="8"/>
        <v>0.53459999999999996</v>
      </c>
      <c r="Q7" s="83">
        <f t="shared" si="9"/>
        <v>2.1600000000000001E-2</v>
      </c>
      <c r="R7" s="83">
        <f t="shared" si="10"/>
        <v>0</v>
      </c>
      <c r="S7" s="83">
        <f t="shared" si="11"/>
        <v>8.0999999999999996E-3</v>
      </c>
      <c r="T7" s="84">
        <v>0</v>
      </c>
      <c r="U7" s="82">
        <v>0</v>
      </c>
      <c r="V7" s="83">
        <v>0</v>
      </c>
      <c r="W7" s="83">
        <v>0</v>
      </c>
      <c r="X7" s="83">
        <v>0</v>
      </c>
      <c r="Y7" s="83">
        <v>0</v>
      </c>
      <c r="Z7" s="83">
        <v>0</v>
      </c>
      <c r="AA7" s="84">
        <f t="shared" si="12"/>
        <v>0</v>
      </c>
      <c r="AB7" s="715"/>
    </row>
    <row r="8" spans="1:28" s="65" customFormat="1" x14ac:dyDescent="0.25">
      <c r="A8" s="71" t="s">
        <v>165</v>
      </c>
      <c r="B8" s="274">
        <f t="shared" ref="B8:AA8" si="14">SUM(B3:B7)</f>
        <v>1149</v>
      </c>
      <c r="C8" s="274">
        <f t="shared" si="14"/>
        <v>282</v>
      </c>
      <c r="D8" s="274">
        <f t="shared" si="14"/>
        <v>0</v>
      </c>
      <c r="E8" s="274">
        <f t="shared" si="14"/>
        <v>419</v>
      </c>
      <c r="F8" s="275">
        <f t="shared" si="14"/>
        <v>0</v>
      </c>
      <c r="G8" s="211">
        <f>SUM(G3:G7)</f>
        <v>60.737160000000003</v>
      </c>
      <c r="H8" s="212">
        <f t="shared" si="14"/>
        <v>176.89295999999996</v>
      </c>
      <c r="I8" s="212">
        <f t="shared" si="14"/>
        <v>29.327999999999999</v>
      </c>
      <c r="J8" s="212">
        <f t="shared" si="14"/>
        <v>10.879560000000001</v>
      </c>
      <c r="K8" s="212">
        <f t="shared" si="14"/>
        <v>1.24644</v>
      </c>
      <c r="L8" s="212">
        <f t="shared" si="14"/>
        <v>2.9158800000000005</v>
      </c>
      <c r="M8" s="213">
        <f t="shared" si="14"/>
        <v>0</v>
      </c>
      <c r="N8" s="211">
        <f t="shared" si="14"/>
        <v>1063.2156600000001</v>
      </c>
      <c r="O8" s="212">
        <f t="shared" si="14"/>
        <v>83.382929999999988</v>
      </c>
      <c r="P8" s="212">
        <f t="shared" si="14"/>
        <v>2.2750199999999996</v>
      </c>
      <c r="Q8" s="212">
        <f t="shared" si="14"/>
        <v>9.1920000000000002E-2</v>
      </c>
      <c r="R8" s="212">
        <f t="shared" si="14"/>
        <v>0</v>
      </c>
      <c r="S8" s="212">
        <f t="shared" si="14"/>
        <v>3.4470000000000001E-2</v>
      </c>
      <c r="T8" s="213">
        <f t="shared" si="14"/>
        <v>0</v>
      </c>
      <c r="U8" s="211">
        <f t="shared" si="14"/>
        <v>0</v>
      </c>
      <c r="V8" s="212">
        <f t="shared" si="14"/>
        <v>0</v>
      </c>
      <c r="W8" s="212">
        <f t="shared" si="14"/>
        <v>0</v>
      </c>
      <c r="X8" s="212">
        <f t="shared" si="14"/>
        <v>0</v>
      </c>
      <c r="Y8" s="212">
        <f t="shared" si="14"/>
        <v>0</v>
      </c>
      <c r="Z8" s="212">
        <f t="shared" si="14"/>
        <v>0</v>
      </c>
      <c r="AA8" s="213">
        <f t="shared" si="14"/>
        <v>0</v>
      </c>
      <c r="AB8" s="715"/>
    </row>
    <row r="9" spans="1:28" s="65" customFormat="1" ht="15.75" thickBot="1" x14ac:dyDescent="0.3">
      <c r="A9" s="227" t="s">
        <v>279</v>
      </c>
      <c r="B9" s="228">
        <f>ROUND((B8/5),1)</f>
        <v>229.8</v>
      </c>
      <c r="C9" s="228">
        <f t="shared" ref="C9:F9" si="15">ROUND((C8/5),1)</f>
        <v>56.4</v>
      </c>
      <c r="D9" s="228">
        <f t="shared" si="15"/>
        <v>0</v>
      </c>
      <c r="E9" s="228">
        <f t="shared" si="15"/>
        <v>83.8</v>
      </c>
      <c r="F9" s="229">
        <f t="shared" si="15"/>
        <v>0</v>
      </c>
      <c r="G9" s="217">
        <f>G8/5</f>
        <v>12.147432</v>
      </c>
      <c r="H9" s="218">
        <f t="shared" ref="H9:AA9" si="16">H8/5</f>
        <v>35.37859199999999</v>
      </c>
      <c r="I9" s="218">
        <f t="shared" si="16"/>
        <v>5.8655999999999997</v>
      </c>
      <c r="J9" s="218">
        <f t="shared" si="16"/>
        <v>2.1759120000000003</v>
      </c>
      <c r="K9" s="218">
        <f t="shared" si="16"/>
        <v>0.24928800000000001</v>
      </c>
      <c r="L9" s="218">
        <f t="shared" si="16"/>
        <v>0.58317600000000014</v>
      </c>
      <c r="M9" s="219">
        <f t="shared" si="16"/>
        <v>0</v>
      </c>
      <c r="N9" s="217">
        <f t="shared" si="16"/>
        <v>212.64313200000001</v>
      </c>
      <c r="O9" s="218">
        <f t="shared" si="16"/>
        <v>16.676585999999997</v>
      </c>
      <c r="P9" s="218">
        <f t="shared" si="16"/>
        <v>0.45500399999999991</v>
      </c>
      <c r="Q9" s="218">
        <f t="shared" si="16"/>
        <v>1.8384000000000001E-2</v>
      </c>
      <c r="R9" s="218">
        <f t="shared" si="16"/>
        <v>0</v>
      </c>
      <c r="S9" s="218">
        <f t="shared" si="16"/>
        <v>6.894E-3</v>
      </c>
      <c r="T9" s="219">
        <f t="shared" si="16"/>
        <v>0</v>
      </c>
      <c r="U9" s="217">
        <f t="shared" si="16"/>
        <v>0</v>
      </c>
      <c r="V9" s="218">
        <f t="shared" si="16"/>
        <v>0</v>
      </c>
      <c r="W9" s="218">
        <f t="shared" si="16"/>
        <v>0</v>
      </c>
      <c r="X9" s="218">
        <f t="shared" si="16"/>
        <v>0</v>
      </c>
      <c r="Y9" s="218">
        <f t="shared" si="16"/>
        <v>0</v>
      </c>
      <c r="Z9" s="218">
        <f t="shared" si="16"/>
        <v>0</v>
      </c>
      <c r="AA9" s="219">
        <f t="shared" si="16"/>
        <v>0</v>
      </c>
      <c r="AB9" s="715"/>
    </row>
    <row r="10" spans="1:28" s="65" customFormat="1" ht="15.75" thickBot="1" x14ac:dyDescent="0.3">
      <c r="A10" s="224" t="s">
        <v>280</v>
      </c>
      <c r="B10" s="225"/>
      <c r="C10" s="225"/>
      <c r="D10" s="215"/>
      <c r="E10" s="225"/>
      <c r="F10" s="226"/>
      <c r="G10" s="214">
        <f>G9*Inputs!$B$153</f>
        <v>51052.455035138257</v>
      </c>
      <c r="H10" s="215">
        <f>H9*Inputs!$B$154</f>
        <v>1020053.0370310583</v>
      </c>
      <c r="I10" s="215">
        <f>I9*Inputs!$B$155</f>
        <v>2649544.7248479226</v>
      </c>
      <c r="J10" s="215">
        <f>J9*Inputs!$B$156</f>
        <v>2195793.9291911726</v>
      </c>
      <c r="K10" s="215">
        <f>K9*Inputs!$B$157</f>
        <v>637300.06626395241</v>
      </c>
      <c r="L10" s="215">
        <f>L9*Inputs!$B$158</f>
        <v>3323650.046189039</v>
      </c>
      <c r="M10" s="216">
        <f>M9*Inputs!$B$159</f>
        <v>0</v>
      </c>
      <c r="N10" s="214">
        <f>N9*Inputs!$B$153</f>
        <v>893683.0381072287</v>
      </c>
      <c r="O10" s="215">
        <f>O9*Inputs!$B$154</f>
        <v>480827.56364667171</v>
      </c>
      <c r="P10" s="215">
        <f>P9*Inputs!$B$155</f>
        <v>205529.43398539006</v>
      </c>
      <c r="Q10" s="215">
        <f>Q9*Inputs!$B$156</f>
        <v>18551.979856837275</v>
      </c>
      <c r="R10" s="215">
        <f>R9*Inputs!$B$157</f>
        <v>0</v>
      </c>
      <c r="S10" s="215">
        <f>S9*Inputs!$B$158</f>
        <v>39290.443053944655</v>
      </c>
      <c r="T10" s="216">
        <f>T9*Inputs!$B$159</f>
        <v>0</v>
      </c>
      <c r="U10" s="214">
        <f>U9*Inputs!$B$153</f>
        <v>0</v>
      </c>
      <c r="V10" s="215">
        <f>V9*Inputs!$B$154</f>
        <v>0</v>
      </c>
      <c r="W10" s="215">
        <f>W9*Inputs!$B$155</f>
        <v>0</v>
      </c>
      <c r="X10" s="215">
        <f>X9*Inputs!$B$156</f>
        <v>0</v>
      </c>
      <c r="Y10" s="215">
        <f>Y9*Inputs!$B$157</f>
        <v>0</v>
      </c>
      <c r="Z10" s="215">
        <f>Z9*Inputs!$B$158</f>
        <v>0</v>
      </c>
      <c r="AA10" s="216">
        <f>AA9*Inputs!$B$159</f>
        <v>0</v>
      </c>
      <c r="AB10" s="80">
        <f>SUM(G10:AA10)</f>
        <v>11515276.717208356</v>
      </c>
    </row>
    <row r="11" spans="1:28" ht="15.75" thickBot="1" x14ac:dyDescent="0.3"/>
    <row r="12" spans="1:28" ht="30" x14ac:dyDescent="0.25">
      <c r="A12" s="51" t="s">
        <v>132</v>
      </c>
      <c r="B12" s="115" t="s">
        <v>276</v>
      </c>
      <c r="C12" s="115" t="s">
        <v>286</v>
      </c>
      <c r="D12" s="152" t="s">
        <v>277</v>
      </c>
      <c r="E12" s="141" t="s">
        <v>278</v>
      </c>
      <c r="F12" s="8"/>
    </row>
    <row r="13" spans="1:28" x14ac:dyDescent="0.25">
      <c r="A13" s="41">
        <v>2018</v>
      </c>
      <c r="B13" s="87">
        <f t="shared" ref="B13:B44" si="17">$AB$10</f>
        <v>11515276.717208356</v>
      </c>
      <c r="C13" s="87">
        <f>B13</f>
        <v>11515276.717208356</v>
      </c>
      <c r="D13" s="113">
        <f>B13-C13</f>
        <v>0</v>
      </c>
      <c r="E13" s="124">
        <f>ROUND(D13/((1+Inputs!$B$3)^(A13-2016)),0)</f>
        <v>0</v>
      </c>
      <c r="F13" s="66"/>
    </row>
    <row r="14" spans="1:28" x14ac:dyDescent="0.25">
      <c r="A14" s="41">
        <v>2019</v>
      </c>
      <c r="B14" s="87">
        <f t="shared" si="17"/>
        <v>11515276.717208356</v>
      </c>
      <c r="C14" s="87">
        <f>B14</f>
        <v>11515276.717208356</v>
      </c>
      <c r="D14" s="113">
        <f t="shared" ref="D14:D44" si="18">B14-C14</f>
        <v>0</v>
      </c>
      <c r="E14" s="124">
        <f>ROUND(D14/((1+Inputs!$B$3)^(A14-2016)),0)</f>
        <v>0</v>
      </c>
      <c r="F14" s="66"/>
      <c r="K14" s="9"/>
      <c r="L14" s="9"/>
      <c r="M14" s="9"/>
      <c r="N14" s="9"/>
      <c r="O14" s="9"/>
      <c r="P14" s="9"/>
    </row>
    <row r="15" spans="1:28" x14ac:dyDescent="0.25">
      <c r="A15" s="41">
        <v>2020</v>
      </c>
      <c r="B15" s="87">
        <f t="shared" si="17"/>
        <v>11515276.717208356</v>
      </c>
      <c r="C15" s="87">
        <f>B15*(1-Inputs!$B$163)</f>
        <v>8636457.5379062667</v>
      </c>
      <c r="D15" s="113">
        <f t="shared" ref="D15" si="19">B15-C15</f>
        <v>2878819.1793020889</v>
      </c>
      <c r="E15" s="124">
        <f>ROUND(D15/((1+Inputs!$B$3)^(A15-2016)),0)</f>
        <v>2196237</v>
      </c>
      <c r="F15" s="66"/>
    </row>
    <row r="16" spans="1:28" x14ac:dyDescent="0.25">
      <c r="A16" s="41">
        <v>2021</v>
      </c>
      <c r="B16" s="87">
        <f t="shared" si="17"/>
        <v>11515276.717208356</v>
      </c>
      <c r="C16" s="87">
        <f>B16*(1-Inputs!$B$163)</f>
        <v>8636457.5379062667</v>
      </c>
      <c r="D16" s="113">
        <f t="shared" si="18"/>
        <v>2878819.1793020889</v>
      </c>
      <c r="E16" s="124">
        <f>ROUND(D16/((1+Inputs!$B$3)^(A16-2016)),0)</f>
        <v>2052558</v>
      </c>
      <c r="F16" s="66"/>
    </row>
    <row r="17" spans="1:6" x14ac:dyDescent="0.25">
      <c r="A17" s="41">
        <v>2022</v>
      </c>
      <c r="B17" s="87">
        <f t="shared" si="17"/>
        <v>11515276.717208356</v>
      </c>
      <c r="C17" s="87">
        <f>B17*(1-Inputs!$B$163)</f>
        <v>8636457.5379062667</v>
      </c>
      <c r="D17" s="113">
        <f t="shared" si="18"/>
        <v>2878819.1793020889</v>
      </c>
      <c r="E17" s="124">
        <f>ROUND(D17/((1+Inputs!$B$3)^(A17-2016)),0)</f>
        <v>1918279</v>
      </c>
      <c r="F17" s="66"/>
    </row>
    <row r="18" spans="1:6" x14ac:dyDescent="0.25">
      <c r="A18" s="41">
        <v>2023</v>
      </c>
      <c r="B18" s="87">
        <f t="shared" si="17"/>
        <v>11515276.717208356</v>
      </c>
      <c r="C18" s="87">
        <f>B18*(1-Inputs!$B$163)</f>
        <v>8636457.5379062667</v>
      </c>
      <c r="D18" s="113">
        <f t="shared" si="18"/>
        <v>2878819.1793020889</v>
      </c>
      <c r="E18" s="124">
        <f>ROUND(D18/((1+Inputs!$B$3)^(A18-2016)),0)</f>
        <v>1792784</v>
      </c>
      <c r="F18" s="66"/>
    </row>
    <row r="19" spans="1:6" x14ac:dyDescent="0.25">
      <c r="A19" s="41">
        <v>2024</v>
      </c>
      <c r="B19" s="87">
        <f t="shared" si="17"/>
        <v>11515276.717208356</v>
      </c>
      <c r="C19" s="87">
        <f>B19*(1-Inputs!$B$163)</f>
        <v>8636457.5379062667</v>
      </c>
      <c r="D19" s="113">
        <f t="shared" si="18"/>
        <v>2878819.1793020889</v>
      </c>
      <c r="E19" s="124">
        <f>ROUND(D19/((1+Inputs!$B$3)^(A19-2016)),0)</f>
        <v>1675499</v>
      </c>
      <c r="F19" s="66"/>
    </row>
    <row r="20" spans="1:6" x14ac:dyDescent="0.25">
      <c r="A20" s="41">
        <v>2025</v>
      </c>
      <c r="B20" s="87">
        <f t="shared" si="17"/>
        <v>11515276.717208356</v>
      </c>
      <c r="C20" s="87">
        <f>B20*(1-Inputs!$B$163)</f>
        <v>8636457.5379062667</v>
      </c>
      <c r="D20" s="113">
        <f t="shared" si="18"/>
        <v>2878819.1793020889</v>
      </c>
      <c r="E20" s="124">
        <f>ROUND(D20/((1+Inputs!$B$3)^(A20-2016)),0)</f>
        <v>1565887</v>
      </c>
      <c r="F20" s="66"/>
    </row>
    <row r="21" spans="1:6" x14ac:dyDescent="0.25">
      <c r="A21" s="41">
        <v>2026</v>
      </c>
      <c r="B21" s="87">
        <f t="shared" si="17"/>
        <v>11515276.717208356</v>
      </c>
      <c r="C21" s="87">
        <f>B21*(1-Inputs!$B$163)</f>
        <v>8636457.5379062667</v>
      </c>
      <c r="D21" s="113">
        <f t="shared" si="18"/>
        <v>2878819.1793020889</v>
      </c>
      <c r="E21" s="124">
        <f>ROUND(D21/((1+Inputs!$B$3)^(A21-2016)),0)</f>
        <v>1463446</v>
      </c>
      <c r="F21" s="66"/>
    </row>
    <row r="22" spans="1:6" x14ac:dyDescent="0.25">
      <c r="A22" s="41">
        <v>2027</v>
      </c>
      <c r="B22" s="87">
        <f t="shared" si="17"/>
        <v>11515276.717208356</v>
      </c>
      <c r="C22" s="87">
        <f>B22*(1-Inputs!$B$163)</f>
        <v>8636457.5379062667</v>
      </c>
      <c r="D22" s="113">
        <f t="shared" si="18"/>
        <v>2878819.1793020889</v>
      </c>
      <c r="E22" s="124">
        <f>ROUND(D22/((1+Inputs!$B$3)^(A22-2016)),0)</f>
        <v>1367706</v>
      </c>
      <c r="F22" s="66"/>
    </row>
    <row r="23" spans="1:6" x14ac:dyDescent="0.25">
      <c r="A23" s="41">
        <v>2028</v>
      </c>
      <c r="B23" s="87">
        <f t="shared" si="17"/>
        <v>11515276.717208356</v>
      </c>
      <c r="C23" s="87">
        <f>B23*(1-Inputs!$B$163)</f>
        <v>8636457.5379062667</v>
      </c>
      <c r="D23" s="113">
        <f t="shared" si="18"/>
        <v>2878819.1793020889</v>
      </c>
      <c r="E23" s="124">
        <f>ROUND(D23/((1+Inputs!$B$3)^(A23-2016)),0)</f>
        <v>1278230</v>
      </c>
      <c r="F23" s="66"/>
    </row>
    <row r="24" spans="1:6" x14ac:dyDescent="0.25">
      <c r="A24" s="41">
        <v>2029</v>
      </c>
      <c r="B24" s="87">
        <f t="shared" si="17"/>
        <v>11515276.717208356</v>
      </c>
      <c r="C24" s="87">
        <f>B24*(1-Inputs!$B$163)</f>
        <v>8636457.5379062667</v>
      </c>
      <c r="D24" s="113">
        <f t="shared" si="18"/>
        <v>2878819.1793020889</v>
      </c>
      <c r="E24" s="124">
        <f>ROUND(D24/((1+Inputs!$B$3)^(A24-2016)),0)</f>
        <v>1194608</v>
      </c>
      <c r="F24" s="66"/>
    </row>
    <row r="25" spans="1:6" x14ac:dyDescent="0.25">
      <c r="A25" s="41">
        <v>2030</v>
      </c>
      <c r="B25" s="87">
        <f t="shared" si="17"/>
        <v>11515276.717208356</v>
      </c>
      <c r="C25" s="87">
        <f>B25*(1-Inputs!$B$163)</f>
        <v>8636457.5379062667</v>
      </c>
      <c r="D25" s="113">
        <f t="shared" si="18"/>
        <v>2878819.1793020889</v>
      </c>
      <c r="E25" s="124">
        <f>ROUND(D25/((1+Inputs!$B$3)^(A25-2016)),0)</f>
        <v>1116456</v>
      </c>
      <c r="F25" s="66"/>
    </row>
    <row r="26" spans="1:6" x14ac:dyDescent="0.25">
      <c r="A26" s="41">
        <v>2031</v>
      </c>
      <c r="B26" s="87">
        <f t="shared" si="17"/>
        <v>11515276.717208356</v>
      </c>
      <c r="C26" s="87">
        <f>B26*(1-Inputs!$B$163)</f>
        <v>8636457.5379062667</v>
      </c>
      <c r="D26" s="113">
        <f t="shared" si="18"/>
        <v>2878819.1793020889</v>
      </c>
      <c r="E26" s="124">
        <f>ROUND(D26/((1+Inputs!$B$3)^(A26-2016)),0)</f>
        <v>1043417</v>
      </c>
      <c r="F26" s="66"/>
    </row>
    <row r="27" spans="1:6" x14ac:dyDescent="0.25">
      <c r="A27" s="41">
        <v>2032</v>
      </c>
      <c r="B27" s="87">
        <f t="shared" si="17"/>
        <v>11515276.717208356</v>
      </c>
      <c r="C27" s="87">
        <f>B27*(1-Inputs!$B$163)</f>
        <v>8636457.5379062667</v>
      </c>
      <c r="D27" s="113">
        <f t="shared" si="18"/>
        <v>2878819.1793020889</v>
      </c>
      <c r="E27" s="124">
        <f>ROUND(D27/((1+Inputs!$B$3)^(A27-2016)),0)</f>
        <v>975156</v>
      </c>
      <c r="F27" s="66"/>
    </row>
    <row r="28" spans="1:6" x14ac:dyDescent="0.25">
      <c r="A28" s="41">
        <v>2033</v>
      </c>
      <c r="B28" s="87">
        <f t="shared" si="17"/>
        <v>11515276.717208356</v>
      </c>
      <c r="C28" s="87">
        <f>B28*(1-Inputs!$B$163)</f>
        <v>8636457.5379062667</v>
      </c>
      <c r="D28" s="113">
        <f t="shared" si="18"/>
        <v>2878819.1793020889</v>
      </c>
      <c r="E28" s="124">
        <f>ROUND(D28/((1+Inputs!$B$3)^(A28-2016)),0)</f>
        <v>911360</v>
      </c>
      <c r="F28" s="66"/>
    </row>
    <row r="29" spans="1:6" x14ac:dyDescent="0.25">
      <c r="A29" s="41">
        <v>2034</v>
      </c>
      <c r="B29" s="87">
        <f t="shared" si="17"/>
        <v>11515276.717208356</v>
      </c>
      <c r="C29" s="87">
        <f>B29*(1-Inputs!$B$163)</f>
        <v>8636457.5379062667</v>
      </c>
      <c r="D29" s="113">
        <f t="shared" si="18"/>
        <v>2878819.1793020889</v>
      </c>
      <c r="E29" s="124">
        <f>ROUND(D29/((1+Inputs!$B$3)^(A29-2016)),0)</f>
        <v>851739</v>
      </c>
      <c r="F29" s="66"/>
    </row>
    <row r="30" spans="1:6" x14ac:dyDescent="0.25">
      <c r="A30" s="41">
        <v>2035</v>
      </c>
      <c r="B30" s="87">
        <f t="shared" si="17"/>
        <v>11515276.717208356</v>
      </c>
      <c r="C30" s="87">
        <f>B30*(1-Inputs!$B$163)</f>
        <v>8636457.5379062667</v>
      </c>
      <c r="D30" s="113">
        <f t="shared" si="18"/>
        <v>2878819.1793020889</v>
      </c>
      <c r="E30" s="124">
        <f>ROUND(D30/((1+Inputs!$B$3)^(A30-2016)),0)</f>
        <v>796017</v>
      </c>
      <c r="F30" s="66"/>
    </row>
    <row r="31" spans="1:6" x14ac:dyDescent="0.25">
      <c r="A31" s="41">
        <v>2036</v>
      </c>
      <c r="B31" s="87">
        <f t="shared" si="17"/>
        <v>11515276.717208356</v>
      </c>
      <c r="C31" s="87">
        <f>B31*(1-Inputs!$B$163)</f>
        <v>8636457.5379062667</v>
      </c>
      <c r="D31" s="113">
        <f t="shared" si="18"/>
        <v>2878819.1793020889</v>
      </c>
      <c r="E31" s="124">
        <f>ROUND(D31/((1+Inputs!$B$3)^(A31-2016)),0)</f>
        <v>743942</v>
      </c>
      <c r="F31" s="66"/>
    </row>
    <row r="32" spans="1:6" x14ac:dyDescent="0.25">
      <c r="A32" s="41">
        <v>2037</v>
      </c>
      <c r="B32" s="87">
        <f t="shared" si="17"/>
        <v>11515276.717208356</v>
      </c>
      <c r="C32" s="87">
        <f>B32*(1-Inputs!$B$163)</f>
        <v>8636457.5379062667</v>
      </c>
      <c r="D32" s="113">
        <f t="shared" si="18"/>
        <v>2878819.1793020889</v>
      </c>
      <c r="E32" s="124">
        <f>ROUND(D32/((1+Inputs!$B$3)^(A32-2016)),0)</f>
        <v>695273</v>
      </c>
      <c r="F32" s="66"/>
    </row>
    <row r="33" spans="1:6" x14ac:dyDescent="0.25">
      <c r="A33" s="41">
        <v>2038</v>
      </c>
      <c r="B33" s="87">
        <f t="shared" si="17"/>
        <v>11515276.717208356</v>
      </c>
      <c r="C33" s="87">
        <f>B33*(1-Inputs!$B$163)</f>
        <v>8636457.5379062667</v>
      </c>
      <c r="D33" s="113">
        <f t="shared" si="18"/>
        <v>2878819.1793020889</v>
      </c>
      <c r="E33" s="124">
        <f>ROUND(D33/((1+Inputs!$B$3)^(A33-2016)),0)</f>
        <v>649787</v>
      </c>
      <c r="F33" s="66"/>
    </row>
    <row r="34" spans="1:6" x14ac:dyDescent="0.25">
      <c r="A34" s="41">
        <v>2039</v>
      </c>
      <c r="B34" s="87">
        <f t="shared" si="17"/>
        <v>11515276.717208356</v>
      </c>
      <c r="C34" s="87">
        <f>B34*(1-Inputs!$B$163)</f>
        <v>8636457.5379062667</v>
      </c>
      <c r="D34" s="113">
        <f t="shared" si="18"/>
        <v>2878819.1793020889</v>
      </c>
      <c r="E34" s="124">
        <f>ROUND(D34/((1+Inputs!$B$3)^(A34-2016)),0)</f>
        <v>607278</v>
      </c>
      <c r="F34" s="66"/>
    </row>
    <row r="35" spans="1:6" x14ac:dyDescent="0.25">
      <c r="A35" s="41">
        <v>2040</v>
      </c>
      <c r="B35" s="87">
        <f t="shared" si="17"/>
        <v>11515276.717208356</v>
      </c>
      <c r="C35" s="87">
        <f>B35*(1-Inputs!$B$163)</f>
        <v>8636457.5379062667</v>
      </c>
      <c r="D35" s="113">
        <f t="shared" si="18"/>
        <v>2878819.1793020889</v>
      </c>
      <c r="E35" s="124">
        <f>ROUND(D35/((1+Inputs!$B$3)^(A35-2016)),0)</f>
        <v>567549</v>
      </c>
      <c r="F35" s="66"/>
    </row>
    <row r="36" spans="1:6" ht="15" customHeight="1" x14ac:dyDescent="0.25">
      <c r="A36" s="41">
        <v>2041</v>
      </c>
      <c r="B36" s="87">
        <f t="shared" si="17"/>
        <v>11515276.717208356</v>
      </c>
      <c r="C36" s="87">
        <f>B36*(1-Inputs!$B$163)</f>
        <v>8636457.5379062667</v>
      </c>
      <c r="D36" s="113">
        <f t="shared" si="18"/>
        <v>2878819.1793020889</v>
      </c>
      <c r="E36" s="124">
        <f>ROUND(D36/((1+Inputs!$B$3)^(A36-2016)),0)</f>
        <v>530420</v>
      </c>
      <c r="F36" s="66"/>
    </row>
    <row r="37" spans="1:6" ht="15" customHeight="1" x14ac:dyDescent="0.25">
      <c r="A37" s="41">
        <v>2042</v>
      </c>
      <c r="B37" s="87">
        <f t="shared" si="17"/>
        <v>11515276.717208356</v>
      </c>
      <c r="C37" s="87">
        <f>B37*(1-Inputs!$B$163)</f>
        <v>8636457.5379062667</v>
      </c>
      <c r="D37" s="113">
        <f t="shared" si="18"/>
        <v>2878819.1793020889</v>
      </c>
      <c r="E37" s="124">
        <f>ROUND(D37/((1+Inputs!$B$3)^(A37-2016)),0)</f>
        <v>495720</v>
      </c>
      <c r="F37" s="66"/>
    </row>
    <row r="38" spans="1:6" ht="15" customHeight="1" x14ac:dyDescent="0.25">
      <c r="A38" s="41">
        <v>2043</v>
      </c>
      <c r="B38" s="87">
        <f t="shared" si="17"/>
        <v>11515276.717208356</v>
      </c>
      <c r="C38" s="87">
        <f>B38*(1-Inputs!$B$163)</f>
        <v>8636457.5379062667</v>
      </c>
      <c r="D38" s="113">
        <f t="shared" si="18"/>
        <v>2878819.1793020889</v>
      </c>
      <c r="E38" s="124">
        <f>ROUND(D38/((1+Inputs!$B$3)^(A38-2016)),0)</f>
        <v>463289</v>
      </c>
      <c r="F38" s="66"/>
    </row>
    <row r="39" spans="1:6" ht="15" customHeight="1" x14ac:dyDescent="0.25">
      <c r="A39" s="41">
        <v>2044</v>
      </c>
      <c r="B39" s="87">
        <f t="shared" si="17"/>
        <v>11515276.717208356</v>
      </c>
      <c r="C39" s="87">
        <f>B39*(1-Inputs!$B$163)</f>
        <v>8636457.5379062667</v>
      </c>
      <c r="D39" s="113">
        <f t="shared" si="18"/>
        <v>2878819.1793020889</v>
      </c>
      <c r="E39" s="124">
        <f>ROUND(D39/((1+Inputs!$B$3)^(A39-2016)),0)</f>
        <v>432981</v>
      </c>
      <c r="F39" s="66"/>
    </row>
    <row r="40" spans="1:6" ht="15" customHeight="1" x14ac:dyDescent="0.25">
      <c r="A40" s="41">
        <v>2045</v>
      </c>
      <c r="B40" s="87">
        <f t="shared" si="17"/>
        <v>11515276.717208356</v>
      </c>
      <c r="C40" s="87">
        <f>B40*(1-Inputs!$B$163)</f>
        <v>8636457.5379062667</v>
      </c>
      <c r="D40" s="113">
        <f t="shared" si="18"/>
        <v>2878819.1793020889</v>
      </c>
      <c r="E40" s="124">
        <f>ROUND(D40/((1+Inputs!$B$3)^(A40-2016)),0)</f>
        <v>404655</v>
      </c>
      <c r="F40" s="66"/>
    </row>
    <row r="41" spans="1:6" ht="15" customHeight="1" x14ac:dyDescent="0.25">
      <c r="A41" s="41">
        <v>2046</v>
      </c>
      <c r="B41" s="87">
        <f t="shared" si="17"/>
        <v>11515276.717208356</v>
      </c>
      <c r="C41" s="87">
        <f>B41*(1-Inputs!$B$163)</f>
        <v>8636457.5379062667</v>
      </c>
      <c r="D41" s="113">
        <f t="shared" si="18"/>
        <v>2878819.1793020889</v>
      </c>
      <c r="E41" s="124">
        <f>ROUND(D41/((1+Inputs!$B$3)^(A41-2016)),0)</f>
        <v>378182</v>
      </c>
      <c r="F41" s="66"/>
    </row>
    <row r="42" spans="1:6" ht="15" customHeight="1" x14ac:dyDescent="0.25">
      <c r="A42" s="41">
        <v>2047</v>
      </c>
      <c r="B42" s="87">
        <f t="shared" si="17"/>
        <v>11515276.717208356</v>
      </c>
      <c r="C42" s="87">
        <f>B42*(1-Inputs!$B$163)</f>
        <v>8636457.5379062667</v>
      </c>
      <c r="D42" s="113">
        <f t="shared" si="18"/>
        <v>2878819.1793020889</v>
      </c>
      <c r="E42" s="124">
        <f>ROUND(D42/((1+Inputs!$B$3)^(A42-2016)),0)</f>
        <v>353441</v>
      </c>
      <c r="F42" s="66"/>
    </row>
    <row r="43" spans="1:6" ht="15" customHeight="1" x14ac:dyDescent="0.25">
      <c r="A43" s="41">
        <v>2048</v>
      </c>
      <c r="B43" s="87">
        <f t="shared" si="17"/>
        <v>11515276.717208356</v>
      </c>
      <c r="C43" s="87">
        <f>B43*(1-Inputs!$B$163)</f>
        <v>8636457.5379062667</v>
      </c>
      <c r="D43" s="113">
        <f t="shared" si="18"/>
        <v>2878819.1793020889</v>
      </c>
      <c r="E43" s="124">
        <f>ROUND(D43/((1+Inputs!$B$3)^(A43-2016)),0)</f>
        <v>330319</v>
      </c>
      <c r="F43" s="66"/>
    </row>
    <row r="44" spans="1:6" ht="15" customHeight="1" thickBot="1" x14ac:dyDescent="0.3">
      <c r="A44" s="41">
        <v>2049</v>
      </c>
      <c r="B44" s="87">
        <f t="shared" si="17"/>
        <v>11515276.717208356</v>
      </c>
      <c r="C44" s="87">
        <f>B44*(1-Inputs!$B$163)</f>
        <v>8636457.5379062667</v>
      </c>
      <c r="D44" s="113">
        <f t="shared" si="18"/>
        <v>2878819.1793020889</v>
      </c>
      <c r="E44" s="124">
        <f>ROUND(D44/((1+Inputs!$B$3)^(A44-2016)),0)</f>
        <v>308709</v>
      </c>
      <c r="F44" s="66"/>
    </row>
    <row r="45" spans="1:6" ht="15" customHeight="1" thickBot="1" x14ac:dyDescent="0.3">
      <c r="A45" s="52" t="s">
        <v>165</v>
      </c>
      <c r="B45" s="77">
        <f>SUM(B13:B44)</f>
        <v>368488854.95066762</v>
      </c>
      <c r="C45" s="77">
        <f>SUM(C13:C44)</f>
        <v>282124279.57160461</v>
      </c>
      <c r="D45" s="78">
        <f>SUM(D13:D44)</f>
        <v>86364575.379062712</v>
      </c>
      <c r="E45" s="121">
        <f>SUM(E13:E44)</f>
        <v>29160924</v>
      </c>
      <c r="F45" s="81"/>
    </row>
    <row r="46" spans="1:6" ht="15" customHeight="1" x14ac:dyDescent="0.25"/>
    <row r="47" spans="1:6" ht="15" customHeight="1" x14ac:dyDescent="0.25">
      <c r="A47" s="112"/>
    </row>
    <row r="48" spans="1: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sheetData>
  <sheetProtection password="891C" sheet="1" objects="1" scenarios="1"/>
  <mergeCells count="5">
    <mergeCell ref="A1:F1"/>
    <mergeCell ref="G1:M1"/>
    <mergeCell ref="N1:T1"/>
    <mergeCell ref="U1:AA1"/>
    <mergeCell ref="AB1:AB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8"/>
  <sheetViews>
    <sheetView topLeftCell="A41" zoomScale="60" zoomScaleNormal="60" workbookViewId="0">
      <selection activeCell="G72" sqref="B1:G72"/>
    </sheetView>
  </sheetViews>
  <sheetFormatPr defaultRowHeight="15" x14ac:dyDescent="0.25"/>
  <cols>
    <col min="1" max="2" width="20.7109375" customWidth="1"/>
    <col min="3" max="3" width="40.7109375" style="6" customWidth="1"/>
    <col min="4" max="7" width="20.7109375" style="6" customWidth="1"/>
    <col min="8" max="12" width="20.7109375" customWidth="1"/>
  </cols>
  <sheetData>
    <row r="1" spans="2:7" s="181" customFormat="1" ht="15" customHeight="1" x14ac:dyDescent="0.25">
      <c r="B1" s="720" t="s">
        <v>656</v>
      </c>
      <c r="C1" s="721"/>
      <c r="D1" s="721"/>
      <c r="E1" s="721"/>
      <c r="F1" s="721"/>
      <c r="G1" s="722"/>
    </row>
    <row r="2" spans="2:7" ht="15" customHeight="1" x14ac:dyDescent="0.25">
      <c r="B2" s="723" t="s">
        <v>580</v>
      </c>
      <c r="C2" s="724"/>
      <c r="D2" s="724"/>
      <c r="E2" s="724"/>
      <c r="F2" s="724"/>
      <c r="G2" s="725"/>
    </row>
    <row r="3" spans="2:7" ht="15" customHeight="1" x14ac:dyDescent="0.25">
      <c r="B3" s="726" t="s">
        <v>581</v>
      </c>
      <c r="C3" s="727"/>
      <c r="D3" s="727"/>
      <c r="E3" s="727"/>
      <c r="F3" s="727"/>
      <c r="G3" s="728" t="s">
        <v>582</v>
      </c>
    </row>
    <row r="4" spans="2:7" ht="15" customHeight="1" thickBot="1" x14ac:dyDescent="0.3">
      <c r="B4" s="730" t="s">
        <v>583</v>
      </c>
      <c r="C4" s="731"/>
      <c r="D4" s="731"/>
      <c r="E4" s="731"/>
      <c r="F4" s="731"/>
      <c r="G4" s="729"/>
    </row>
    <row r="5" spans="2:7" ht="15" customHeight="1" thickBot="1" x14ac:dyDescent="0.3">
      <c r="B5" s="717" t="s">
        <v>584</v>
      </c>
      <c r="C5" s="718"/>
      <c r="D5" s="718"/>
      <c r="E5" s="718"/>
      <c r="F5" s="718"/>
      <c r="G5" s="719"/>
    </row>
    <row r="6" spans="2:7" ht="15" customHeight="1" x14ac:dyDescent="0.25">
      <c r="B6" s="276"/>
      <c r="C6" s="277" t="s">
        <v>585</v>
      </c>
      <c r="D6" s="277" t="s">
        <v>586</v>
      </c>
      <c r="E6" s="277" t="s">
        <v>587</v>
      </c>
      <c r="F6" s="277" t="s">
        <v>588</v>
      </c>
      <c r="G6" s="278" t="s">
        <v>589</v>
      </c>
    </row>
    <row r="7" spans="2:7" ht="15" customHeight="1" x14ac:dyDescent="0.25">
      <c r="B7" s="279"/>
      <c r="C7" s="280" t="s">
        <v>590</v>
      </c>
      <c r="D7" s="280" t="s">
        <v>591</v>
      </c>
      <c r="E7" s="280">
        <v>1</v>
      </c>
      <c r="F7" s="280">
        <v>1570000</v>
      </c>
      <c r="G7" s="281">
        <f>E7*F7</f>
        <v>1570000</v>
      </c>
    </row>
    <row r="8" spans="2:7" ht="15" customHeight="1" thickBot="1" x14ac:dyDescent="0.3">
      <c r="B8" s="732" t="s">
        <v>592</v>
      </c>
      <c r="C8" s="733"/>
      <c r="D8" s="733"/>
      <c r="E8" s="733"/>
      <c r="F8" s="733"/>
      <c r="G8" s="282">
        <f>G7</f>
        <v>1570000</v>
      </c>
    </row>
    <row r="9" spans="2:7" ht="15" customHeight="1" thickBot="1" x14ac:dyDescent="0.3">
      <c r="B9" s="717" t="s">
        <v>593</v>
      </c>
      <c r="C9" s="718"/>
      <c r="D9" s="718"/>
      <c r="E9" s="718"/>
      <c r="F9" s="718"/>
      <c r="G9" s="719"/>
    </row>
    <row r="10" spans="2:7" ht="15" customHeight="1" x14ac:dyDescent="0.25">
      <c r="B10" s="276"/>
      <c r="C10" s="277" t="s">
        <v>585</v>
      </c>
      <c r="D10" s="277" t="s">
        <v>586</v>
      </c>
      <c r="E10" s="277" t="s">
        <v>587</v>
      </c>
      <c r="F10" s="277" t="s">
        <v>588</v>
      </c>
      <c r="G10" s="278" t="s">
        <v>589</v>
      </c>
    </row>
    <row r="11" spans="2:7" ht="15" customHeight="1" x14ac:dyDescent="0.25">
      <c r="B11" s="279"/>
      <c r="C11" s="280" t="s">
        <v>594</v>
      </c>
      <c r="D11" s="280" t="s">
        <v>591</v>
      </c>
      <c r="E11" s="280">
        <v>1</v>
      </c>
      <c r="F11" s="280">
        <v>3950000</v>
      </c>
      <c r="G11" s="281">
        <f>E11*F11</f>
        <v>3950000</v>
      </c>
    </row>
    <row r="12" spans="2:7" ht="15" customHeight="1" thickBot="1" x14ac:dyDescent="0.3">
      <c r="B12" s="732" t="s">
        <v>595</v>
      </c>
      <c r="C12" s="733"/>
      <c r="D12" s="733"/>
      <c r="E12" s="733"/>
      <c r="F12" s="733"/>
      <c r="G12" s="282">
        <f>G11</f>
        <v>3950000</v>
      </c>
    </row>
    <row r="13" spans="2:7" ht="15" customHeight="1" thickBot="1" x14ac:dyDescent="0.3">
      <c r="B13" s="717" t="s">
        <v>596</v>
      </c>
      <c r="C13" s="718"/>
      <c r="D13" s="718"/>
      <c r="E13" s="718"/>
      <c r="F13" s="718"/>
      <c r="G13" s="719"/>
    </row>
    <row r="14" spans="2:7" ht="15" customHeight="1" x14ac:dyDescent="0.25">
      <c r="B14" s="276"/>
      <c r="C14" s="277" t="s">
        <v>585</v>
      </c>
      <c r="D14" s="277" t="s">
        <v>586</v>
      </c>
      <c r="E14" s="277" t="s">
        <v>587</v>
      </c>
      <c r="F14" s="277" t="s">
        <v>588</v>
      </c>
      <c r="G14" s="278" t="s">
        <v>589</v>
      </c>
    </row>
    <row r="15" spans="2:7" ht="15" customHeight="1" x14ac:dyDescent="0.25">
      <c r="B15" s="279"/>
      <c r="C15" s="280" t="s">
        <v>597</v>
      </c>
      <c r="D15" s="280" t="s">
        <v>591</v>
      </c>
      <c r="E15" s="280">
        <v>1</v>
      </c>
      <c r="F15" s="280">
        <v>1875000</v>
      </c>
      <c r="G15" s="281">
        <f>E15*F15</f>
        <v>1875000</v>
      </c>
    </row>
    <row r="16" spans="2:7" ht="15" customHeight="1" thickBot="1" x14ac:dyDescent="0.3">
      <c r="B16" s="732" t="s">
        <v>598</v>
      </c>
      <c r="C16" s="733"/>
      <c r="D16" s="733"/>
      <c r="E16" s="733"/>
      <c r="F16" s="733"/>
      <c r="G16" s="282">
        <f>G15</f>
        <v>1875000</v>
      </c>
    </row>
    <row r="17" spans="2:7" ht="15" customHeight="1" thickBot="1" x14ac:dyDescent="0.3">
      <c r="B17" s="717" t="s">
        <v>599</v>
      </c>
      <c r="C17" s="718"/>
      <c r="D17" s="718"/>
      <c r="E17" s="718"/>
      <c r="F17" s="718"/>
      <c r="G17" s="719"/>
    </row>
    <row r="18" spans="2:7" ht="15" customHeight="1" x14ac:dyDescent="0.25">
      <c r="B18" s="283" t="s">
        <v>600</v>
      </c>
      <c r="C18" s="284" t="s">
        <v>585</v>
      </c>
      <c r="D18" s="284" t="s">
        <v>586</v>
      </c>
      <c r="E18" s="284" t="s">
        <v>587</v>
      </c>
      <c r="F18" s="284" t="s">
        <v>588</v>
      </c>
      <c r="G18" s="285" t="s">
        <v>589</v>
      </c>
    </row>
    <row r="19" spans="2:7" ht="15" customHeight="1" x14ac:dyDescent="0.25">
      <c r="B19" s="723" t="s">
        <v>601</v>
      </c>
      <c r="C19" s="724"/>
      <c r="D19" s="724"/>
      <c r="E19" s="724"/>
      <c r="F19" s="724"/>
      <c r="G19" s="725"/>
    </row>
    <row r="20" spans="2:7" ht="15" customHeight="1" x14ac:dyDescent="0.25">
      <c r="B20" s="286"/>
      <c r="C20" s="287" t="s">
        <v>602</v>
      </c>
      <c r="D20" s="287" t="s">
        <v>603</v>
      </c>
      <c r="E20" s="288">
        <v>8037</v>
      </c>
      <c r="F20" s="289">
        <v>23</v>
      </c>
      <c r="G20" s="290">
        <f t="shared" ref="G20:G31" si="0">E20*F20</f>
        <v>184851</v>
      </c>
    </row>
    <row r="21" spans="2:7" ht="15" customHeight="1" x14ac:dyDescent="0.25">
      <c r="B21" s="286"/>
      <c r="C21" s="287" t="s">
        <v>604</v>
      </c>
      <c r="D21" s="287" t="s">
        <v>603</v>
      </c>
      <c r="E21" s="288">
        <v>3780</v>
      </c>
      <c r="F21" s="289">
        <v>13</v>
      </c>
      <c r="G21" s="290">
        <f t="shared" si="0"/>
        <v>49140</v>
      </c>
    </row>
    <row r="22" spans="2:7" ht="15" customHeight="1" x14ac:dyDescent="0.25">
      <c r="B22" s="286"/>
      <c r="C22" s="287" t="s">
        <v>605</v>
      </c>
      <c r="D22" s="287" t="s">
        <v>606</v>
      </c>
      <c r="E22" s="288">
        <v>13985</v>
      </c>
      <c r="F22" s="291">
        <v>6.5</v>
      </c>
      <c r="G22" s="290">
        <f t="shared" si="0"/>
        <v>90902.5</v>
      </c>
    </row>
    <row r="23" spans="2:7" ht="15" customHeight="1" x14ac:dyDescent="0.25">
      <c r="B23" s="286"/>
      <c r="C23" s="287" t="s">
        <v>607</v>
      </c>
      <c r="D23" s="287" t="s">
        <v>606</v>
      </c>
      <c r="E23" s="288">
        <v>22452</v>
      </c>
      <c r="F23" s="292">
        <v>8.25</v>
      </c>
      <c r="G23" s="290">
        <f t="shared" si="0"/>
        <v>185229</v>
      </c>
    </row>
    <row r="24" spans="2:7" ht="15" customHeight="1" x14ac:dyDescent="0.25">
      <c r="B24" s="286"/>
      <c r="C24" s="287" t="s">
        <v>608</v>
      </c>
      <c r="D24" s="287" t="s">
        <v>606</v>
      </c>
      <c r="E24" s="288">
        <v>14087</v>
      </c>
      <c r="F24" s="292">
        <v>63.09</v>
      </c>
      <c r="G24" s="290">
        <f t="shared" si="0"/>
        <v>888748.83000000007</v>
      </c>
    </row>
    <row r="25" spans="2:7" ht="15" customHeight="1" x14ac:dyDescent="0.25">
      <c r="B25" s="286"/>
      <c r="C25" s="287" t="s">
        <v>609</v>
      </c>
      <c r="D25" s="287" t="s">
        <v>606</v>
      </c>
      <c r="E25" s="288">
        <v>7530</v>
      </c>
      <c r="F25" s="292">
        <v>170.32</v>
      </c>
      <c r="G25" s="290">
        <f t="shared" si="0"/>
        <v>1282509.5999999999</v>
      </c>
    </row>
    <row r="26" spans="2:7" ht="15" customHeight="1" x14ac:dyDescent="0.25">
      <c r="B26" s="286"/>
      <c r="C26" s="287" t="s">
        <v>610</v>
      </c>
      <c r="D26" s="287" t="s">
        <v>606</v>
      </c>
      <c r="E26" s="288">
        <v>1403</v>
      </c>
      <c r="F26" s="289">
        <v>9</v>
      </c>
      <c r="G26" s="290">
        <f t="shared" si="0"/>
        <v>12627</v>
      </c>
    </row>
    <row r="27" spans="2:7" ht="15" customHeight="1" x14ac:dyDescent="0.25">
      <c r="B27" s="286"/>
      <c r="C27" s="287" t="s">
        <v>611</v>
      </c>
      <c r="D27" s="287" t="s">
        <v>612</v>
      </c>
      <c r="E27" s="288">
        <v>1</v>
      </c>
      <c r="F27" s="289">
        <v>200000</v>
      </c>
      <c r="G27" s="290">
        <f t="shared" si="0"/>
        <v>200000</v>
      </c>
    </row>
    <row r="28" spans="2:7" ht="15" customHeight="1" x14ac:dyDescent="0.25">
      <c r="B28" s="286"/>
      <c r="C28" s="287" t="s">
        <v>613</v>
      </c>
      <c r="D28" s="287" t="s">
        <v>614</v>
      </c>
      <c r="E28" s="288">
        <v>7632</v>
      </c>
      <c r="F28" s="289">
        <v>69</v>
      </c>
      <c r="G28" s="290">
        <f t="shared" si="0"/>
        <v>526608</v>
      </c>
    </row>
    <row r="29" spans="2:7" ht="15" customHeight="1" x14ac:dyDescent="0.25">
      <c r="B29" s="286"/>
      <c r="C29" s="287" t="s">
        <v>615</v>
      </c>
      <c r="D29" s="287" t="s">
        <v>612</v>
      </c>
      <c r="E29" s="288">
        <v>1</v>
      </c>
      <c r="F29" s="289">
        <v>700000</v>
      </c>
      <c r="G29" s="290">
        <f t="shared" si="0"/>
        <v>700000</v>
      </c>
    </row>
    <row r="30" spans="2:7" ht="15" customHeight="1" x14ac:dyDescent="0.25">
      <c r="B30" s="286"/>
      <c r="C30" s="287" t="s">
        <v>616</v>
      </c>
      <c r="D30" s="287" t="s">
        <v>612</v>
      </c>
      <c r="E30" s="288">
        <v>0</v>
      </c>
      <c r="F30" s="289">
        <v>0</v>
      </c>
      <c r="G30" s="290">
        <f t="shared" si="0"/>
        <v>0</v>
      </c>
    </row>
    <row r="31" spans="2:7" ht="15" customHeight="1" x14ac:dyDescent="0.25">
      <c r="B31" s="286"/>
      <c r="C31" s="287" t="s">
        <v>617</v>
      </c>
      <c r="D31" s="287" t="s">
        <v>612</v>
      </c>
      <c r="E31" s="288">
        <v>0</v>
      </c>
      <c r="F31" s="289">
        <v>0</v>
      </c>
      <c r="G31" s="290">
        <f t="shared" si="0"/>
        <v>0</v>
      </c>
    </row>
    <row r="32" spans="2:7" ht="15" customHeight="1" x14ac:dyDescent="0.25">
      <c r="B32" s="734" t="s">
        <v>618</v>
      </c>
      <c r="C32" s="735"/>
      <c r="D32" s="735"/>
      <c r="E32" s="735"/>
      <c r="F32" s="735"/>
      <c r="G32" s="282">
        <f>SUM(G20:G31)</f>
        <v>4120615.9299999997</v>
      </c>
    </row>
    <row r="33" spans="2:7" ht="15" customHeight="1" x14ac:dyDescent="0.25">
      <c r="B33" s="723" t="s">
        <v>619</v>
      </c>
      <c r="C33" s="724"/>
      <c r="D33" s="724"/>
      <c r="E33" s="724"/>
      <c r="F33" s="724"/>
      <c r="G33" s="725"/>
    </row>
    <row r="34" spans="2:7" ht="15" customHeight="1" x14ac:dyDescent="0.25">
      <c r="B34" s="286"/>
      <c r="C34" s="287" t="s">
        <v>620</v>
      </c>
      <c r="D34" s="287" t="s">
        <v>614</v>
      </c>
      <c r="E34" s="293">
        <v>2000</v>
      </c>
      <c r="F34" s="293">
        <v>45</v>
      </c>
      <c r="G34" s="290">
        <f t="shared" ref="G34:G35" si="1">E34*F34</f>
        <v>90000</v>
      </c>
    </row>
    <row r="35" spans="2:7" ht="15" customHeight="1" x14ac:dyDescent="0.25">
      <c r="B35" s="286"/>
      <c r="C35" s="287" t="s">
        <v>621</v>
      </c>
      <c r="D35" s="287" t="s">
        <v>603</v>
      </c>
      <c r="E35" s="293">
        <v>0</v>
      </c>
      <c r="F35" s="293">
        <v>25</v>
      </c>
      <c r="G35" s="290">
        <f t="shared" si="1"/>
        <v>0</v>
      </c>
    </row>
    <row r="36" spans="2:7" ht="15" customHeight="1" x14ac:dyDescent="0.25">
      <c r="B36" s="734" t="s">
        <v>622</v>
      </c>
      <c r="C36" s="735"/>
      <c r="D36" s="735"/>
      <c r="E36" s="735"/>
      <c r="F36" s="735"/>
      <c r="G36" s="282">
        <f>SUM(G34:G35)</f>
        <v>90000</v>
      </c>
    </row>
    <row r="37" spans="2:7" ht="15" customHeight="1" x14ac:dyDescent="0.25">
      <c r="B37" s="723" t="s">
        <v>623</v>
      </c>
      <c r="C37" s="724"/>
      <c r="D37" s="724"/>
      <c r="E37" s="724"/>
      <c r="F37" s="724"/>
      <c r="G37" s="725"/>
    </row>
    <row r="38" spans="2:7" ht="15" customHeight="1" x14ac:dyDescent="0.25">
      <c r="B38" s="286"/>
      <c r="C38" s="287" t="s">
        <v>624</v>
      </c>
      <c r="D38" s="287" t="s">
        <v>603</v>
      </c>
      <c r="E38" s="294">
        <v>62830</v>
      </c>
      <c r="F38" s="292">
        <v>0.97</v>
      </c>
      <c r="G38" s="295">
        <f t="shared" ref="G38:G39" si="2">E38*F38</f>
        <v>60945.1</v>
      </c>
    </row>
    <row r="39" spans="2:7" ht="15" customHeight="1" x14ac:dyDescent="0.25">
      <c r="B39" s="286"/>
      <c r="C39" s="287" t="s">
        <v>625</v>
      </c>
      <c r="D39" s="287" t="s">
        <v>626</v>
      </c>
      <c r="E39" s="289">
        <v>8</v>
      </c>
      <c r="F39" s="289">
        <v>3000</v>
      </c>
      <c r="G39" s="295">
        <f t="shared" si="2"/>
        <v>24000</v>
      </c>
    </row>
    <row r="40" spans="2:7" ht="15" customHeight="1" x14ac:dyDescent="0.25">
      <c r="B40" s="734" t="s">
        <v>627</v>
      </c>
      <c r="C40" s="735"/>
      <c r="D40" s="735"/>
      <c r="E40" s="735"/>
      <c r="F40" s="735"/>
      <c r="G40" s="282">
        <f>SUM(G38:G39)</f>
        <v>84945.1</v>
      </c>
    </row>
    <row r="41" spans="2:7" ht="15" customHeight="1" x14ac:dyDescent="0.25">
      <c r="B41" s="723" t="s">
        <v>628</v>
      </c>
      <c r="C41" s="724"/>
      <c r="D41" s="724"/>
      <c r="E41" s="724"/>
      <c r="F41" s="724"/>
      <c r="G41" s="725"/>
    </row>
    <row r="42" spans="2:7" ht="15" customHeight="1" x14ac:dyDescent="0.25">
      <c r="B42" s="286"/>
      <c r="C42" s="287" t="s">
        <v>629</v>
      </c>
      <c r="D42" s="287" t="s">
        <v>603</v>
      </c>
      <c r="E42" s="289">
        <v>2530</v>
      </c>
      <c r="F42" s="292">
        <v>53.88</v>
      </c>
      <c r="G42" s="295">
        <f t="shared" ref="G42:G44" si="3">E42*F42</f>
        <v>136316.4</v>
      </c>
    </row>
    <row r="43" spans="2:7" ht="15" customHeight="1" x14ac:dyDescent="0.25">
      <c r="B43" s="286"/>
      <c r="C43" s="287" t="s">
        <v>630</v>
      </c>
      <c r="D43" s="287" t="s">
        <v>626</v>
      </c>
      <c r="E43" s="289">
        <v>56</v>
      </c>
      <c r="F43" s="289">
        <v>4100</v>
      </c>
      <c r="G43" s="295">
        <f t="shared" si="3"/>
        <v>229600</v>
      </c>
    </row>
    <row r="44" spans="2:7" ht="15" customHeight="1" x14ac:dyDescent="0.25">
      <c r="B44" s="286"/>
      <c r="C44" s="287" t="s">
        <v>631</v>
      </c>
      <c r="D44" s="287" t="s">
        <v>626</v>
      </c>
      <c r="E44" s="289">
        <v>5</v>
      </c>
      <c r="F44" s="289">
        <v>8200</v>
      </c>
      <c r="G44" s="295">
        <f t="shared" si="3"/>
        <v>41000</v>
      </c>
    </row>
    <row r="45" spans="2:7" ht="15" customHeight="1" x14ac:dyDescent="0.25">
      <c r="B45" s="286"/>
      <c r="C45" s="287" t="s">
        <v>632</v>
      </c>
      <c r="D45" s="287" t="s">
        <v>626</v>
      </c>
      <c r="E45" s="289">
        <v>3</v>
      </c>
      <c r="F45" s="289">
        <v>2500</v>
      </c>
      <c r="G45" s="295">
        <f>E45*F45</f>
        <v>7500</v>
      </c>
    </row>
    <row r="46" spans="2:7" ht="15" customHeight="1" x14ac:dyDescent="0.25">
      <c r="B46" s="734" t="s">
        <v>633</v>
      </c>
      <c r="C46" s="735"/>
      <c r="D46" s="735"/>
      <c r="E46" s="735"/>
      <c r="F46" s="735"/>
      <c r="G46" s="282">
        <f>SUM(G42:G45)</f>
        <v>414416.4</v>
      </c>
    </row>
    <row r="47" spans="2:7" ht="15" customHeight="1" x14ac:dyDescent="0.25">
      <c r="B47" s="723" t="s">
        <v>634</v>
      </c>
      <c r="C47" s="724"/>
      <c r="D47" s="724"/>
      <c r="E47" s="724"/>
      <c r="F47" s="724"/>
      <c r="G47" s="725"/>
    </row>
    <row r="48" spans="2:7" ht="15" customHeight="1" x14ac:dyDescent="0.25">
      <c r="B48" s="286"/>
      <c r="C48" s="287" t="s">
        <v>635</v>
      </c>
      <c r="D48" s="287" t="s">
        <v>626</v>
      </c>
      <c r="E48" s="296">
        <v>6</v>
      </c>
      <c r="F48" s="296">
        <v>160000</v>
      </c>
      <c r="G48" s="297">
        <f>E48*F48</f>
        <v>960000</v>
      </c>
    </row>
    <row r="49" spans="2:7" ht="15" customHeight="1" x14ac:dyDescent="0.25">
      <c r="B49" s="734" t="s">
        <v>636</v>
      </c>
      <c r="C49" s="735"/>
      <c r="D49" s="735"/>
      <c r="E49" s="735"/>
      <c r="F49" s="735"/>
      <c r="G49" s="282">
        <f>G48</f>
        <v>960000</v>
      </c>
    </row>
    <row r="50" spans="2:7" ht="15" customHeight="1" x14ac:dyDescent="0.25">
      <c r="B50" s="723" t="s">
        <v>637</v>
      </c>
      <c r="C50" s="724"/>
      <c r="D50" s="724"/>
      <c r="E50" s="724"/>
      <c r="F50" s="724"/>
      <c r="G50" s="725"/>
    </row>
    <row r="51" spans="2:7" ht="15" customHeight="1" x14ac:dyDescent="0.25">
      <c r="B51" s="286"/>
      <c r="C51" s="287" t="s">
        <v>638</v>
      </c>
      <c r="D51" s="287" t="s">
        <v>626</v>
      </c>
      <c r="E51" s="289">
        <v>85</v>
      </c>
      <c r="F51" s="289">
        <v>2000</v>
      </c>
      <c r="G51" s="295">
        <f t="shared" ref="G51:G59" si="4">E51*F51</f>
        <v>170000</v>
      </c>
    </row>
    <row r="52" spans="2:7" ht="15" customHeight="1" x14ac:dyDescent="0.25">
      <c r="B52" s="286"/>
      <c r="C52" s="287" t="s">
        <v>639</v>
      </c>
      <c r="D52" s="287" t="s">
        <v>626</v>
      </c>
      <c r="E52" s="289">
        <v>87</v>
      </c>
      <c r="F52" s="289">
        <v>3500</v>
      </c>
      <c r="G52" s="295">
        <f t="shared" si="4"/>
        <v>304500</v>
      </c>
    </row>
    <row r="53" spans="2:7" ht="15" customHeight="1" x14ac:dyDescent="0.25">
      <c r="B53" s="286"/>
      <c r="C53" s="287" t="s">
        <v>640</v>
      </c>
      <c r="D53" s="287" t="s">
        <v>626</v>
      </c>
      <c r="E53" s="289">
        <v>89</v>
      </c>
      <c r="F53" s="289">
        <v>1000</v>
      </c>
      <c r="G53" s="295">
        <f t="shared" si="4"/>
        <v>89000</v>
      </c>
    </row>
    <row r="54" spans="2:7" ht="15" customHeight="1" x14ac:dyDescent="0.25">
      <c r="B54" s="286"/>
      <c r="C54" s="287" t="s">
        <v>641</v>
      </c>
      <c r="D54" s="287" t="s">
        <v>626</v>
      </c>
      <c r="E54" s="289">
        <v>87</v>
      </c>
      <c r="F54" s="289">
        <v>1500</v>
      </c>
      <c r="G54" s="295">
        <f t="shared" si="4"/>
        <v>130500</v>
      </c>
    </row>
    <row r="55" spans="2:7" ht="15" customHeight="1" x14ac:dyDescent="0.25">
      <c r="B55" s="286"/>
      <c r="C55" s="287" t="s">
        <v>642</v>
      </c>
      <c r="D55" s="287" t="s">
        <v>626</v>
      </c>
      <c r="E55" s="289">
        <v>62</v>
      </c>
      <c r="F55" s="289">
        <v>2500</v>
      </c>
      <c r="G55" s="295">
        <f t="shared" si="4"/>
        <v>155000</v>
      </c>
    </row>
    <row r="56" spans="2:7" ht="15" customHeight="1" x14ac:dyDescent="0.25">
      <c r="B56" s="286"/>
      <c r="C56" s="287" t="s">
        <v>643</v>
      </c>
      <c r="D56" s="287" t="s">
        <v>626</v>
      </c>
      <c r="E56" s="289">
        <v>200</v>
      </c>
      <c r="F56" s="289">
        <v>800</v>
      </c>
      <c r="G56" s="295">
        <f>E56*F56</f>
        <v>160000</v>
      </c>
    </row>
    <row r="57" spans="2:7" ht="15" customHeight="1" x14ac:dyDescent="0.25">
      <c r="B57" s="286"/>
      <c r="C57" s="287" t="s">
        <v>644</v>
      </c>
      <c r="D57" s="287" t="s">
        <v>614</v>
      </c>
      <c r="E57" s="294">
        <v>12050</v>
      </c>
      <c r="F57" s="289">
        <v>22</v>
      </c>
      <c r="G57" s="295">
        <f t="shared" si="4"/>
        <v>265100</v>
      </c>
    </row>
    <row r="58" spans="2:7" ht="15" customHeight="1" x14ac:dyDescent="0.25">
      <c r="B58" s="286"/>
      <c r="C58" s="287" t="s">
        <v>645</v>
      </c>
      <c r="D58" s="287" t="s">
        <v>614</v>
      </c>
      <c r="E58" s="294">
        <v>23048</v>
      </c>
      <c r="F58" s="289">
        <v>9</v>
      </c>
      <c r="G58" s="295">
        <f t="shared" si="4"/>
        <v>207432</v>
      </c>
    </row>
    <row r="59" spans="2:7" ht="15" customHeight="1" x14ac:dyDescent="0.25">
      <c r="B59" s="286"/>
      <c r="C59" s="287" t="s">
        <v>646</v>
      </c>
      <c r="D59" s="287" t="s">
        <v>614</v>
      </c>
      <c r="E59" s="289">
        <v>10450</v>
      </c>
      <c r="F59" s="289">
        <v>70</v>
      </c>
      <c r="G59" s="295">
        <f t="shared" si="4"/>
        <v>731500</v>
      </c>
    </row>
    <row r="60" spans="2:7" ht="15" customHeight="1" x14ac:dyDescent="0.25">
      <c r="B60" s="734" t="s">
        <v>636</v>
      </c>
      <c r="C60" s="735"/>
      <c r="D60" s="735"/>
      <c r="E60" s="735"/>
      <c r="F60" s="735"/>
      <c r="G60" s="282">
        <f>SUM(G51:G59)</f>
        <v>2213032</v>
      </c>
    </row>
    <row r="61" spans="2:7" ht="15" customHeight="1" x14ac:dyDescent="0.25">
      <c r="B61" s="723" t="s">
        <v>647</v>
      </c>
      <c r="C61" s="724"/>
      <c r="D61" s="724"/>
      <c r="E61" s="724"/>
      <c r="F61" s="724"/>
      <c r="G61" s="725"/>
    </row>
    <row r="62" spans="2:7" ht="15" customHeight="1" x14ac:dyDescent="0.25">
      <c r="B62" s="286"/>
      <c r="C62" s="287" t="s">
        <v>648</v>
      </c>
      <c r="D62" s="287" t="s">
        <v>612</v>
      </c>
      <c r="E62" s="289">
        <v>1</v>
      </c>
      <c r="F62" s="298">
        <v>472980.57</v>
      </c>
      <c r="G62" s="295">
        <f t="shared" ref="G62:G65" si="5">E62*F62</f>
        <v>472980.57</v>
      </c>
    </row>
    <row r="63" spans="2:7" ht="15" customHeight="1" x14ac:dyDescent="0.25">
      <c r="B63" s="286"/>
      <c r="C63" s="287" t="s">
        <v>649</v>
      </c>
      <c r="D63" s="287" t="s">
        <v>612</v>
      </c>
      <c r="E63" s="289">
        <v>1</v>
      </c>
      <c r="F63" s="298">
        <v>394150.47</v>
      </c>
      <c r="G63" s="295">
        <f t="shared" si="5"/>
        <v>394150.47</v>
      </c>
    </row>
    <row r="64" spans="2:7" ht="15" customHeight="1" x14ac:dyDescent="0.25">
      <c r="B64" s="286"/>
      <c r="C64" s="287" t="s">
        <v>650</v>
      </c>
      <c r="D64" s="287" t="s">
        <v>612</v>
      </c>
      <c r="E64" s="289">
        <v>1</v>
      </c>
      <c r="F64" s="298">
        <v>551810.66</v>
      </c>
      <c r="G64" s="295">
        <f t="shared" si="5"/>
        <v>551810.66</v>
      </c>
    </row>
    <row r="65" spans="2:7" ht="15" customHeight="1" x14ac:dyDescent="0.25">
      <c r="B65" s="286"/>
      <c r="C65" s="287" t="s">
        <v>651</v>
      </c>
      <c r="D65" s="287" t="s">
        <v>612</v>
      </c>
      <c r="E65" s="289">
        <v>1</v>
      </c>
      <c r="F65" s="298">
        <v>394150.47</v>
      </c>
      <c r="G65" s="295">
        <f t="shared" si="5"/>
        <v>394150.47</v>
      </c>
    </row>
    <row r="66" spans="2:7" ht="15" customHeight="1" x14ac:dyDescent="0.25">
      <c r="B66" s="734" t="s">
        <v>652</v>
      </c>
      <c r="C66" s="735"/>
      <c r="D66" s="735"/>
      <c r="E66" s="735"/>
      <c r="F66" s="735"/>
      <c r="G66" s="282">
        <f>SUM(G62:G65)</f>
        <v>1813092.1700000002</v>
      </c>
    </row>
    <row r="67" spans="2:7" ht="15" customHeight="1" thickBot="1" x14ac:dyDescent="0.3">
      <c r="B67" s="741"/>
      <c r="C67" s="742"/>
      <c r="D67" s="742"/>
      <c r="E67" s="742"/>
      <c r="F67" s="742"/>
      <c r="G67" s="299"/>
    </row>
    <row r="68" spans="2:7" ht="15" customHeight="1" x14ac:dyDescent="0.25">
      <c r="B68" s="743" t="s">
        <v>653</v>
      </c>
      <c r="C68" s="744"/>
      <c r="D68" s="744"/>
      <c r="E68" s="744"/>
      <c r="F68" s="744"/>
      <c r="G68" s="300">
        <f>SUM(G66,G60,G49,G46,G40,G36,G32)</f>
        <v>9696101.5999999996</v>
      </c>
    </row>
    <row r="69" spans="2:7" ht="15" customHeight="1" x14ac:dyDescent="0.25">
      <c r="B69" s="745" t="s">
        <v>654</v>
      </c>
      <c r="C69" s="746"/>
      <c r="D69" s="746"/>
      <c r="E69" s="746"/>
      <c r="F69" s="746"/>
      <c r="G69" s="301">
        <f>G68*0.3</f>
        <v>2908830.48</v>
      </c>
    </row>
    <row r="70" spans="2:7" ht="15" customHeight="1" thickBot="1" x14ac:dyDescent="0.3">
      <c r="B70" s="741"/>
      <c r="C70" s="742"/>
      <c r="D70" s="742"/>
      <c r="E70" s="742"/>
      <c r="F70" s="742"/>
      <c r="G70" s="299"/>
    </row>
    <row r="71" spans="2:7" ht="15" customHeight="1" thickBot="1" x14ac:dyDescent="0.3">
      <c r="B71" s="736" t="s">
        <v>655</v>
      </c>
      <c r="C71" s="737"/>
      <c r="D71" s="737"/>
      <c r="E71" s="737"/>
      <c r="F71" s="737"/>
      <c r="G71" s="303">
        <f>SUM(G68:G69)</f>
        <v>12604932.08</v>
      </c>
    </row>
    <row r="72" spans="2:7" ht="15" customHeight="1" thickBot="1" x14ac:dyDescent="0.3">
      <c r="B72" s="738" t="s">
        <v>657</v>
      </c>
      <c r="C72" s="739"/>
      <c r="D72" s="739"/>
      <c r="E72" s="739"/>
      <c r="F72" s="740"/>
      <c r="G72" s="302">
        <f>SUM(G71,G16,G12,G8)</f>
        <v>19999932.079999998</v>
      </c>
    </row>
    <row r="73" spans="2:7" ht="15" customHeight="1" x14ac:dyDescent="0.25"/>
    <row r="74" spans="2:7" ht="15" customHeight="1" x14ac:dyDescent="0.25"/>
    <row r="75" spans="2:7" ht="15" customHeight="1" x14ac:dyDescent="0.25"/>
    <row r="76" spans="2:7" ht="15" customHeight="1" x14ac:dyDescent="0.25"/>
    <row r="77" spans="2:7" ht="15" customHeight="1" x14ac:dyDescent="0.25"/>
    <row r="78" spans="2:7" ht="15" customHeight="1" x14ac:dyDescent="0.25"/>
  </sheetData>
  <sheetProtection password="891C" sheet="1" objects="1" scenarios="1"/>
  <mergeCells count="32">
    <mergeCell ref="B71:F71"/>
    <mergeCell ref="B72:F72"/>
    <mergeCell ref="B61:G61"/>
    <mergeCell ref="B66:F66"/>
    <mergeCell ref="B67:F67"/>
    <mergeCell ref="B68:F68"/>
    <mergeCell ref="B69:F69"/>
    <mergeCell ref="B70:F70"/>
    <mergeCell ref="B60:F60"/>
    <mergeCell ref="B19:G19"/>
    <mergeCell ref="B32:F32"/>
    <mergeCell ref="B33:G33"/>
    <mergeCell ref="B36:F36"/>
    <mergeCell ref="B37:G37"/>
    <mergeCell ref="B40:F40"/>
    <mergeCell ref="B41:G41"/>
    <mergeCell ref="B46:F46"/>
    <mergeCell ref="B47:G47"/>
    <mergeCell ref="B49:F49"/>
    <mergeCell ref="B50:G50"/>
    <mergeCell ref="B17:G17"/>
    <mergeCell ref="B1:G1"/>
    <mergeCell ref="B2:G2"/>
    <mergeCell ref="B3:F3"/>
    <mergeCell ref="G3:G4"/>
    <mergeCell ref="B4:F4"/>
    <mergeCell ref="B5:G5"/>
    <mergeCell ref="B8:F8"/>
    <mergeCell ref="B9:G9"/>
    <mergeCell ref="B12:F12"/>
    <mergeCell ref="B13:G13"/>
    <mergeCell ref="B16:F1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6"/>
  <sheetViews>
    <sheetView topLeftCell="A61" zoomScale="80" zoomScaleNormal="80" workbookViewId="0">
      <selection activeCell="G80" sqref="G80"/>
    </sheetView>
  </sheetViews>
  <sheetFormatPr defaultRowHeight="15" x14ac:dyDescent="0.25"/>
  <cols>
    <col min="1" max="1" width="9.140625" style="4"/>
    <col min="3" max="3" width="13.5703125" bestFit="1" customWidth="1"/>
    <col min="4" max="4" width="14.85546875" bestFit="1" customWidth="1"/>
    <col min="5" max="5" width="14.85546875" style="4" customWidth="1"/>
    <col min="6" max="6" width="14.85546875" style="4" hidden="1" customWidth="1"/>
    <col min="7" max="7" width="16.5703125" customWidth="1"/>
    <col min="8" max="9" width="16.5703125" style="4" customWidth="1"/>
    <col min="10" max="10" width="14.85546875" bestFit="1" customWidth="1"/>
    <col min="11" max="11" width="13.5703125" bestFit="1" customWidth="1"/>
    <col min="14" max="14" width="15.85546875" bestFit="1" customWidth="1"/>
    <col min="16" max="16" width="14.42578125" style="28" bestFit="1" customWidth="1"/>
    <col min="17" max="17" width="14.85546875" style="28" customWidth="1"/>
  </cols>
  <sheetData>
    <row r="1" spans="1:17" ht="15.75" thickBot="1" x14ac:dyDescent="0.3"/>
    <row r="2" spans="1:17" s="7" customFormat="1" ht="45" x14ac:dyDescent="0.25">
      <c r="A2" s="181"/>
      <c r="B2" s="182" t="s">
        <v>136</v>
      </c>
      <c r="C2" s="53" t="s">
        <v>254</v>
      </c>
      <c r="D2" s="53" t="s">
        <v>255</v>
      </c>
      <c r="E2" s="53" t="s">
        <v>384</v>
      </c>
      <c r="F2" s="53" t="s">
        <v>385</v>
      </c>
      <c r="G2" s="406" t="s">
        <v>257</v>
      </c>
      <c r="H2" s="54" t="s">
        <v>386</v>
      </c>
      <c r="I2" s="54" t="s">
        <v>387</v>
      </c>
      <c r="J2" s="54" t="s">
        <v>1</v>
      </c>
      <c r="K2" s="56" t="s">
        <v>256</v>
      </c>
      <c r="N2" s="176" t="s">
        <v>383</v>
      </c>
      <c r="P2" s="575" t="s">
        <v>394</v>
      </c>
      <c r="Q2" s="576" t="s">
        <v>395</v>
      </c>
    </row>
    <row r="3" spans="1:17" s="2" customFormat="1" x14ac:dyDescent="0.25">
      <c r="A3" s="4"/>
      <c r="B3" s="41">
        <v>2016</v>
      </c>
      <c r="C3" s="48">
        <f>'Detailed Cost Estimate'!G12+'Detailed Cost Estimate'!G8</f>
        <v>5520000</v>
      </c>
      <c r="D3" s="48"/>
      <c r="E3" s="48">
        <f t="shared" ref="E3:E35" si="0">SUM(C3:D3)</f>
        <v>5520000</v>
      </c>
      <c r="F3" s="55">
        <f>ROUND(E3/((1+Inputs!$B$3)^(B3-2015)),0)</f>
        <v>5158879</v>
      </c>
      <c r="G3" s="87"/>
      <c r="H3" s="55">
        <f>SUM(G3)</f>
        <v>0</v>
      </c>
      <c r="I3" s="55">
        <f>ROUND(H3/((1+Inputs!$B$3)^(B3-2015)),0)</f>
        <v>0</v>
      </c>
      <c r="J3" s="55">
        <f>SUM(E3,H3)</f>
        <v>5520000</v>
      </c>
      <c r="K3" s="57">
        <f>ROUND(J3/((1+Inputs!$B$3)^(B3-2016)),0)</f>
        <v>5520000</v>
      </c>
      <c r="N3" s="180">
        <v>0</v>
      </c>
      <c r="P3" s="579">
        <f>E3-4000000</f>
        <v>1520000</v>
      </c>
      <c r="Q3" s="118">
        <f>ROUND(P3/((1+Inputs!$B$3)^(B3-2016)),0)</f>
        <v>1520000</v>
      </c>
    </row>
    <row r="4" spans="1:17" s="2" customFormat="1" x14ac:dyDescent="0.25">
      <c r="A4" s="4"/>
      <c r="B4" s="41">
        <f>1+B3</f>
        <v>2017</v>
      </c>
      <c r="C4" s="48">
        <f>'Detailed Cost Estimate'!G16</f>
        <v>1875000</v>
      </c>
      <c r="D4" s="48"/>
      <c r="E4" s="48">
        <f t="shared" si="0"/>
        <v>1875000</v>
      </c>
      <c r="F4" s="48">
        <f>ROUND(E4/((1+Inputs!$B$3)^(B4-2015)),0)</f>
        <v>1637698</v>
      </c>
      <c r="G4" s="87"/>
      <c r="H4" s="55">
        <f t="shared" ref="H4:H36" si="1">SUM(G4)</f>
        <v>0</v>
      </c>
      <c r="I4" s="55">
        <f>ROUND(H4/((1+Inputs!$B$3)^(B4-2015)),0)</f>
        <v>0</v>
      </c>
      <c r="J4" s="55">
        <f t="shared" ref="J4:J35" si="2">SUM(E4,H4)</f>
        <v>1875000</v>
      </c>
      <c r="K4" s="57">
        <f>ROUND(J4/((1+Inputs!$B$3)^(B4-2016)),0)</f>
        <v>1752336</v>
      </c>
      <c r="N4" s="180">
        <v>0</v>
      </c>
      <c r="P4" s="579">
        <f>E4</f>
        <v>1875000</v>
      </c>
      <c r="Q4" s="118">
        <f>ROUND(P4/((1+Inputs!$B$3)^(B4-2016)),0)</f>
        <v>1752336</v>
      </c>
    </row>
    <row r="5" spans="1:17" s="2" customFormat="1" x14ac:dyDescent="0.25">
      <c r="A5" s="4"/>
      <c r="B5" s="41">
        <f t="shared" ref="B5:B36" si="3">1+B4</f>
        <v>2018</v>
      </c>
      <c r="C5" s="48"/>
      <c r="D5" s="48">
        <f>'Detailed Cost Estimate'!G71/2</f>
        <v>6302466.04</v>
      </c>
      <c r="E5" s="48">
        <f t="shared" si="0"/>
        <v>6302466.04</v>
      </c>
      <c r="F5" s="48">
        <f>ROUND(E5/((1+Inputs!$B$3)^(B5-2015)),0)</f>
        <v>5144690</v>
      </c>
      <c r="G5" s="87"/>
      <c r="H5" s="55">
        <f t="shared" si="1"/>
        <v>0</v>
      </c>
      <c r="I5" s="55">
        <f>ROUND(H5/((1+Inputs!$B$3)^(B5-2015)),0)</f>
        <v>0</v>
      </c>
      <c r="J5" s="55">
        <f t="shared" si="2"/>
        <v>6302466.04</v>
      </c>
      <c r="K5" s="57">
        <f>ROUND(J5/((1+Inputs!$B$3)^(B5-2016)),0)</f>
        <v>5504818</v>
      </c>
      <c r="N5" s="180">
        <v>0</v>
      </c>
      <c r="P5" s="579">
        <f t="shared" ref="P5:P35" si="4">E5</f>
        <v>6302466.04</v>
      </c>
      <c r="Q5" s="118">
        <f>ROUND(P5/((1+Inputs!$B$3)^(B5-2016)),0)</f>
        <v>5504818</v>
      </c>
    </row>
    <row r="6" spans="1:17" s="2" customFormat="1" x14ac:dyDescent="0.25">
      <c r="A6" s="4"/>
      <c r="B6" s="41">
        <f t="shared" si="3"/>
        <v>2019</v>
      </c>
      <c r="C6" s="48"/>
      <c r="D6" s="48">
        <f>'Detailed Cost Estimate'!G71/2</f>
        <v>6302466.04</v>
      </c>
      <c r="E6" s="48">
        <f t="shared" si="0"/>
        <v>6302466.04</v>
      </c>
      <c r="F6" s="48">
        <f>ROUND(E6/((1+Inputs!$B$3)^(B6-2015)),0)</f>
        <v>4808121</v>
      </c>
      <c r="G6" s="87"/>
      <c r="H6" s="55">
        <f t="shared" si="1"/>
        <v>0</v>
      </c>
      <c r="I6" s="55">
        <f>ROUND(H6/((1+Inputs!$B$3)^(B6-2015)),0)</f>
        <v>0</v>
      </c>
      <c r="J6" s="55">
        <f>SUM(E6,H6)</f>
        <v>6302466.04</v>
      </c>
      <c r="K6" s="57">
        <f>ROUND(J6/((1+Inputs!$B$3)^(B6-2016)),0)</f>
        <v>5144690</v>
      </c>
      <c r="N6" s="180">
        <v>0</v>
      </c>
      <c r="P6" s="579">
        <f t="shared" si="4"/>
        <v>6302466.04</v>
      </c>
      <c r="Q6" s="118">
        <f>ROUND(P6/((1+Inputs!$B$3)^(B6-2016)),0)</f>
        <v>5144690</v>
      </c>
    </row>
    <row r="7" spans="1:17" x14ac:dyDescent="0.25">
      <c r="B7" s="41">
        <f t="shared" si="3"/>
        <v>2020</v>
      </c>
      <c r="C7" s="48"/>
      <c r="D7" s="48"/>
      <c r="E7" s="48">
        <f t="shared" si="0"/>
        <v>0</v>
      </c>
      <c r="F7" s="48">
        <f>ROUND(E7/((1+Inputs!$B$3)^(B7-2015)),0)</f>
        <v>0</v>
      </c>
      <c r="G7" s="87">
        <f>(10578*Inputs!$B$13)+(1000*Inputs!$B$13)</f>
        <v>30681.700000000004</v>
      </c>
      <c r="H7" s="55">
        <f t="shared" si="1"/>
        <v>30681.700000000004</v>
      </c>
      <c r="I7" s="55">
        <f>ROUND(H7/((1+Inputs!$B$3)^(B7-2015)),0)</f>
        <v>21876</v>
      </c>
      <c r="J7" s="55">
        <f t="shared" si="2"/>
        <v>30681.700000000004</v>
      </c>
      <c r="K7" s="57">
        <f>ROUND(J7/((1+Inputs!$B$3)^(B7-2016)),0)</f>
        <v>23407</v>
      </c>
      <c r="N7" s="180">
        <v>0</v>
      </c>
      <c r="P7" s="579">
        <f t="shared" si="4"/>
        <v>0</v>
      </c>
      <c r="Q7" s="118">
        <f>ROUND(P7/((1+Inputs!$B$3)^(B7-2016)),0)</f>
        <v>0</v>
      </c>
    </row>
    <row r="8" spans="1:17" x14ac:dyDescent="0.25">
      <c r="B8" s="41">
        <f t="shared" si="3"/>
        <v>2021</v>
      </c>
      <c r="C8" s="48"/>
      <c r="D8" s="48"/>
      <c r="E8" s="48">
        <f t="shared" si="0"/>
        <v>0</v>
      </c>
      <c r="F8" s="48">
        <f>ROUND(E8/((1+Inputs!$B$3)^(B8-2015)),0)</f>
        <v>0</v>
      </c>
      <c r="G8" s="87">
        <f>(10578*Inputs!$B$13)</f>
        <v>28031.700000000004</v>
      </c>
      <c r="H8" s="55">
        <f t="shared" si="1"/>
        <v>28031.700000000004</v>
      </c>
      <c r="I8" s="55">
        <f>ROUND(H8/((1+Inputs!$B$3)^(B8-2015)),0)</f>
        <v>18679</v>
      </c>
      <c r="J8" s="55">
        <f t="shared" si="2"/>
        <v>28031.700000000004</v>
      </c>
      <c r="K8" s="57">
        <f>ROUND(J8/((1+Inputs!$B$3)^(B8-2016)),0)</f>
        <v>19986</v>
      </c>
      <c r="N8" s="180">
        <f>SUM(D3:D8)</f>
        <v>12604932.08</v>
      </c>
      <c r="P8" s="579">
        <f t="shared" si="4"/>
        <v>0</v>
      </c>
      <c r="Q8" s="118">
        <f>ROUND(P8/((1+Inputs!$B$3)^(B8-2016)),0)</f>
        <v>0</v>
      </c>
    </row>
    <row r="9" spans="1:17" x14ac:dyDescent="0.25">
      <c r="B9" s="41">
        <f t="shared" si="3"/>
        <v>2022</v>
      </c>
      <c r="C9" s="48"/>
      <c r="D9" s="48"/>
      <c r="E9" s="48">
        <f t="shared" si="0"/>
        <v>0</v>
      </c>
      <c r="F9" s="48">
        <f>ROUND(E9/((1+Inputs!$B$3)^(B9-2015)),0)</f>
        <v>0</v>
      </c>
      <c r="G9" s="87">
        <f>(10578*Inputs!$B$13)</f>
        <v>28031.700000000004</v>
      </c>
      <c r="H9" s="55">
        <f t="shared" si="1"/>
        <v>28031.700000000004</v>
      </c>
      <c r="I9" s="55">
        <f>ROUND(H9/((1+Inputs!$B$3)^(B9-2015)),0)</f>
        <v>17457</v>
      </c>
      <c r="J9" s="55">
        <f t="shared" si="2"/>
        <v>28031.700000000004</v>
      </c>
      <c r="K9" s="57">
        <f>ROUND(J9/((1+Inputs!$B$3)^(B9-2016)),0)</f>
        <v>18679</v>
      </c>
      <c r="N9" s="180">
        <f>(G9)+((1-Inputs!$B$4)*Costs!N8)</f>
        <v>12441368.812384</v>
      </c>
      <c r="P9" s="579">
        <f t="shared" si="4"/>
        <v>0</v>
      </c>
      <c r="Q9" s="118">
        <f>ROUND(P9/((1+Inputs!$B$3)^(B9-2016)),0)</f>
        <v>0</v>
      </c>
    </row>
    <row r="10" spans="1:17" x14ac:dyDescent="0.25">
      <c r="B10" s="41">
        <f t="shared" si="3"/>
        <v>2023</v>
      </c>
      <c r="C10" s="48"/>
      <c r="D10" s="48"/>
      <c r="E10" s="48">
        <f t="shared" si="0"/>
        <v>0</v>
      </c>
      <c r="F10" s="48">
        <f>ROUND(E10/((1+Inputs!$B$3)^(B10-2015)),0)</f>
        <v>0</v>
      </c>
      <c r="G10" s="87">
        <f>(10578*Inputs!$B$13)</f>
        <v>28031.700000000004</v>
      </c>
      <c r="H10" s="55">
        <f t="shared" si="1"/>
        <v>28031.700000000004</v>
      </c>
      <c r="I10" s="55">
        <f>ROUND(H10/((1+Inputs!$B$3)^(B10-2015)),0)</f>
        <v>16315</v>
      </c>
      <c r="J10" s="55">
        <f t="shared" si="2"/>
        <v>28031.700000000004</v>
      </c>
      <c r="K10" s="57">
        <f>ROUND(J10/((1+Inputs!$B$3)^(B10-2016)),0)</f>
        <v>17457</v>
      </c>
      <c r="N10" s="180">
        <f>(G10)+((1-Inputs!$B$4)*Costs!N9)</f>
        <v>12280291.706435762</v>
      </c>
      <c r="P10" s="579">
        <f t="shared" si="4"/>
        <v>0</v>
      </c>
      <c r="Q10" s="118">
        <f>ROUND(P10/((1+Inputs!$B$3)^(B10-2016)),0)</f>
        <v>0</v>
      </c>
    </row>
    <row r="11" spans="1:17" x14ac:dyDescent="0.25">
      <c r="B11" s="41">
        <f t="shared" si="3"/>
        <v>2024</v>
      </c>
      <c r="C11" s="48"/>
      <c r="D11" s="48"/>
      <c r="E11" s="48">
        <f t="shared" si="0"/>
        <v>0</v>
      </c>
      <c r="F11" s="48">
        <f>ROUND(E11/((1+Inputs!$B$3)^(B11-2015)),0)</f>
        <v>0</v>
      </c>
      <c r="G11" s="87">
        <f>(10578*Inputs!$B$13)</f>
        <v>28031.700000000004</v>
      </c>
      <c r="H11" s="55">
        <f t="shared" si="1"/>
        <v>28031.700000000004</v>
      </c>
      <c r="I11" s="55">
        <f>ROUND(H11/((1+Inputs!$B$3)^(B11-2015)),0)</f>
        <v>15247</v>
      </c>
      <c r="J11" s="55">
        <f t="shared" si="2"/>
        <v>28031.700000000004</v>
      </c>
      <c r="K11" s="57">
        <f>ROUND(J11/((1+Inputs!$B$3)^(B11-2016)),0)</f>
        <v>16315</v>
      </c>
      <c r="N11" s="180">
        <f>(G11)+((1-Inputs!$B$4)*Costs!N10)</f>
        <v>12121662.972497938</v>
      </c>
      <c r="P11" s="579">
        <f t="shared" si="4"/>
        <v>0</v>
      </c>
      <c r="Q11" s="118">
        <f>ROUND(P11/((1+Inputs!$B$3)^(B11-2016)),0)</f>
        <v>0</v>
      </c>
    </row>
    <row r="12" spans="1:17" x14ac:dyDescent="0.25">
      <c r="B12" s="41">
        <f t="shared" si="3"/>
        <v>2025</v>
      </c>
      <c r="C12" s="48"/>
      <c r="D12" s="48"/>
      <c r="E12" s="48">
        <f t="shared" si="0"/>
        <v>0</v>
      </c>
      <c r="F12" s="48">
        <f>ROUND(E12/((1+Inputs!$B$3)^(B12-2015)),0)</f>
        <v>0</v>
      </c>
      <c r="G12" s="87">
        <f>(10578*Inputs!$B$13)+(1000*Inputs!$B$13)</f>
        <v>30681.700000000004</v>
      </c>
      <c r="H12" s="55">
        <f t="shared" si="1"/>
        <v>30681.700000000004</v>
      </c>
      <c r="I12" s="55">
        <f>ROUND(H12/((1+Inputs!$B$3)^(B12-2015)),0)</f>
        <v>15597</v>
      </c>
      <c r="J12" s="55">
        <f t="shared" si="2"/>
        <v>30681.700000000004</v>
      </c>
      <c r="K12" s="57">
        <f>ROUND(J12/((1+Inputs!$B$3)^(B12-2016)),0)</f>
        <v>16689</v>
      </c>
      <c r="N12" s="180">
        <f>(G12)+((1-Inputs!$B$4)*Costs!N11)</f>
        <v>11968095.395315969</v>
      </c>
      <c r="P12" s="579">
        <f t="shared" si="4"/>
        <v>0</v>
      </c>
      <c r="Q12" s="118">
        <f>ROUND(P12/((1+Inputs!$B$3)^(B12-2016)),0)</f>
        <v>0</v>
      </c>
    </row>
    <row r="13" spans="1:17" x14ac:dyDescent="0.25">
      <c r="B13" s="41">
        <f t="shared" si="3"/>
        <v>2026</v>
      </c>
      <c r="C13" s="48"/>
      <c r="D13" s="48"/>
      <c r="E13" s="48">
        <f t="shared" si="0"/>
        <v>0</v>
      </c>
      <c r="F13" s="48">
        <f>ROUND(E13/((1+Inputs!$B$3)^(B13-2015)),0)</f>
        <v>0</v>
      </c>
      <c r="G13" s="87">
        <f>(10578*Inputs!$B$13)</f>
        <v>28031.700000000004</v>
      </c>
      <c r="H13" s="55">
        <f t="shared" si="1"/>
        <v>28031.700000000004</v>
      </c>
      <c r="I13" s="55">
        <f>ROUND(H13/((1+Inputs!$B$3)^(B13-2015)),0)</f>
        <v>13318</v>
      </c>
      <c r="J13" s="55">
        <f t="shared" si="2"/>
        <v>28031.700000000004</v>
      </c>
      <c r="K13" s="57">
        <f>ROUND(J13/((1+Inputs!$B$3)^(B13-2016)),0)</f>
        <v>14250</v>
      </c>
      <c r="N13" s="180">
        <f>(G13)+((1-Inputs!$B$4)*Costs!N12)</f>
        <v>11814212.045307167</v>
      </c>
      <c r="P13" s="579">
        <f t="shared" si="4"/>
        <v>0</v>
      </c>
      <c r="Q13" s="118">
        <f>ROUND(P13/((1+Inputs!$B$3)^(B13-2016)),0)</f>
        <v>0</v>
      </c>
    </row>
    <row r="14" spans="1:17" x14ac:dyDescent="0.25">
      <c r="B14" s="41">
        <f t="shared" si="3"/>
        <v>2027</v>
      </c>
      <c r="C14" s="48"/>
      <c r="D14" s="48"/>
      <c r="E14" s="48">
        <f t="shared" si="0"/>
        <v>0</v>
      </c>
      <c r="F14" s="48">
        <f>ROUND(E14/((1+Inputs!$B$3)^(B14-2015)),0)</f>
        <v>0</v>
      </c>
      <c r="G14" s="87">
        <f>(10578*Inputs!$B$13)</f>
        <v>28031.700000000004</v>
      </c>
      <c r="H14" s="55">
        <f t="shared" si="1"/>
        <v>28031.700000000004</v>
      </c>
      <c r="I14" s="55">
        <f>ROUND(H14/((1+Inputs!$B$3)^(B14-2015)),0)</f>
        <v>12446</v>
      </c>
      <c r="J14" s="55">
        <f t="shared" si="2"/>
        <v>28031.700000000004</v>
      </c>
      <c r="K14" s="57">
        <f>ROUND(J14/((1+Inputs!$B$3)^(B14-2016)),0)</f>
        <v>13318</v>
      </c>
      <c r="N14" s="180">
        <f>(G14)+((1-Inputs!$B$4)*Costs!N13)</f>
        <v>11662667.722218497</v>
      </c>
      <c r="P14" s="579">
        <f t="shared" si="4"/>
        <v>0</v>
      </c>
      <c r="Q14" s="118">
        <f>ROUND(P14/((1+Inputs!$B$3)^(B14-2016)),0)</f>
        <v>0</v>
      </c>
    </row>
    <row r="15" spans="1:17" x14ac:dyDescent="0.25">
      <c r="B15" s="41">
        <f t="shared" si="3"/>
        <v>2028</v>
      </c>
      <c r="C15" s="48"/>
      <c r="D15" s="48"/>
      <c r="E15" s="48">
        <f t="shared" si="0"/>
        <v>0</v>
      </c>
      <c r="F15" s="48">
        <f>ROUND(E15/((1+Inputs!$B$3)^(B15-2015)),0)</f>
        <v>0</v>
      </c>
      <c r="G15" s="87">
        <f>(10578*Inputs!$B$13)</f>
        <v>28031.700000000004</v>
      </c>
      <c r="H15" s="55">
        <f t="shared" si="1"/>
        <v>28031.700000000004</v>
      </c>
      <c r="I15" s="55">
        <f>ROUND(H15/((1+Inputs!$B$3)^(B15-2015)),0)</f>
        <v>11632</v>
      </c>
      <c r="J15" s="55">
        <f t="shared" si="2"/>
        <v>28031.700000000004</v>
      </c>
      <c r="K15" s="57">
        <f>ROUND(J15/((1+Inputs!$B$3)^(B15-2016)),0)</f>
        <v>12446</v>
      </c>
      <c r="N15" s="180">
        <f>(G15)+((1-Inputs!$B$4)*Costs!N14)</f>
        <v>11513426.872840775</v>
      </c>
      <c r="P15" s="579">
        <f t="shared" si="4"/>
        <v>0</v>
      </c>
      <c r="Q15" s="118">
        <f>ROUND(P15/((1+Inputs!$B$3)^(B15-2016)),0)</f>
        <v>0</v>
      </c>
    </row>
    <row r="16" spans="1:17" x14ac:dyDescent="0.25">
      <c r="B16" s="41">
        <f t="shared" si="3"/>
        <v>2029</v>
      </c>
      <c r="C16" s="48"/>
      <c r="D16" s="48"/>
      <c r="E16" s="48">
        <f t="shared" si="0"/>
        <v>0</v>
      </c>
      <c r="F16" s="48">
        <f>ROUND(E16/((1+Inputs!$B$3)^(B16-2015)),0)</f>
        <v>0</v>
      </c>
      <c r="G16" s="87">
        <f>(10578*Inputs!$B$13)</f>
        <v>28031.700000000004</v>
      </c>
      <c r="H16" s="55">
        <f t="shared" si="1"/>
        <v>28031.700000000004</v>
      </c>
      <c r="I16" s="55">
        <f>ROUND(H16/((1+Inputs!$B$3)^(B16-2015)),0)</f>
        <v>10871</v>
      </c>
      <c r="J16" s="55">
        <f t="shared" si="2"/>
        <v>28031.700000000004</v>
      </c>
      <c r="K16" s="57">
        <f>ROUND(J16/((1+Inputs!$B$3)^(B16-2016)),0)</f>
        <v>11632</v>
      </c>
      <c r="N16" s="180">
        <f>(G16)+((1-Inputs!$B$4)*Costs!N15)</f>
        <v>11366454.484373596</v>
      </c>
      <c r="P16" s="579">
        <f t="shared" si="4"/>
        <v>0</v>
      </c>
      <c r="Q16" s="118">
        <f>ROUND(P16/((1+Inputs!$B$3)^(B16-2016)),0)</f>
        <v>0</v>
      </c>
    </row>
    <row r="17" spans="2:17" x14ac:dyDescent="0.25">
      <c r="B17" s="41">
        <f t="shared" si="3"/>
        <v>2030</v>
      </c>
      <c r="C17" s="48"/>
      <c r="D17" s="48"/>
      <c r="E17" s="48">
        <f t="shared" si="0"/>
        <v>0</v>
      </c>
      <c r="F17" s="48">
        <f>ROUND(E17/((1+Inputs!$B$3)^(B17-2015)),0)</f>
        <v>0</v>
      </c>
      <c r="G17" s="87">
        <f>(10578*Inputs!$B$13)+(1000*Inputs!$B$13)</f>
        <v>30681.700000000004</v>
      </c>
      <c r="H17" s="55">
        <f t="shared" si="1"/>
        <v>30681.700000000004</v>
      </c>
      <c r="I17" s="55">
        <f>ROUND(H17/((1+Inputs!$B$3)^(B17-2015)),0)</f>
        <v>11120</v>
      </c>
      <c r="J17" s="55">
        <f>SUM(E17,H17)</f>
        <v>30681.700000000004</v>
      </c>
      <c r="K17" s="57">
        <f>ROUND(J17/((1+Inputs!$B$3)^(B17-2016)),0)</f>
        <v>11899</v>
      </c>
      <c r="N17" s="180">
        <f>(G17)+((1-Inputs!$B$4)*Costs!N16)</f>
        <v>11224366.076211115</v>
      </c>
      <c r="P17" s="579">
        <f t="shared" si="4"/>
        <v>0</v>
      </c>
      <c r="Q17" s="118">
        <f>ROUND(P17/((1+Inputs!$B$3)^(B17-2016)),0)</f>
        <v>0</v>
      </c>
    </row>
    <row r="18" spans="2:17" x14ac:dyDescent="0.25">
      <c r="B18" s="41">
        <f t="shared" si="3"/>
        <v>2031</v>
      </c>
      <c r="C18" s="48"/>
      <c r="D18" s="48"/>
      <c r="E18" s="48">
        <f t="shared" si="0"/>
        <v>0</v>
      </c>
      <c r="F18" s="48">
        <f>ROUND(E18/((1+Inputs!$B$3)^(B18-2015)),0)</f>
        <v>0</v>
      </c>
      <c r="G18" s="87">
        <f>(10578*Inputs!$B$13)</f>
        <v>28031.700000000004</v>
      </c>
      <c r="H18" s="55">
        <f t="shared" si="1"/>
        <v>28031.700000000004</v>
      </c>
      <c r="I18" s="55">
        <f>ROUND(H18/((1+Inputs!$B$3)^(B18-2015)),0)</f>
        <v>9495</v>
      </c>
      <c r="J18" s="55">
        <f t="shared" si="2"/>
        <v>28031.700000000004</v>
      </c>
      <c r="K18" s="57">
        <f>ROUND(J18/((1+Inputs!$B$3)^(B18-2016)),0)</f>
        <v>10160</v>
      </c>
      <c r="N18" s="180">
        <f>(G18)+((1-Inputs!$B$4)*Costs!N17)</f>
        <v>11081787.411852706</v>
      </c>
      <c r="P18" s="579">
        <f t="shared" si="4"/>
        <v>0</v>
      </c>
      <c r="Q18" s="118">
        <f>ROUND(P18/((1+Inputs!$B$3)^(B18-2016)),0)</f>
        <v>0</v>
      </c>
    </row>
    <row r="19" spans="2:17" x14ac:dyDescent="0.25">
      <c r="B19" s="41">
        <f t="shared" si="3"/>
        <v>2032</v>
      </c>
      <c r="C19" s="48"/>
      <c r="D19" s="48"/>
      <c r="E19" s="48">
        <f t="shared" si="0"/>
        <v>0</v>
      </c>
      <c r="F19" s="48">
        <f>ROUND(E19/((1+Inputs!$B$3)^(B19-2015)),0)</f>
        <v>0</v>
      </c>
      <c r="G19" s="87">
        <f>(10578*Inputs!$B$13)</f>
        <v>28031.700000000004</v>
      </c>
      <c r="H19" s="55">
        <f t="shared" si="1"/>
        <v>28031.700000000004</v>
      </c>
      <c r="I19" s="55">
        <f>ROUND(H19/((1+Inputs!$B$3)^(B19-2015)),0)</f>
        <v>8874</v>
      </c>
      <c r="J19" s="55">
        <f t="shared" si="2"/>
        <v>28031.700000000004</v>
      </c>
      <c r="K19" s="57">
        <f>ROUND(J19/((1+Inputs!$B$3)^(B19-2016)),0)</f>
        <v>9495</v>
      </c>
      <c r="N19" s="180">
        <f>(G19)+((1-Inputs!$B$4)*Costs!N18)</f>
        <v>10941375.943192545</v>
      </c>
      <c r="P19" s="579">
        <f t="shared" si="4"/>
        <v>0</v>
      </c>
      <c r="Q19" s="118">
        <f>ROUND(P19/((1+Inputs!$B$3)^(B19-2016)),0)</f>
        <v>0</v>
      </c>
    </row>
    <row r="20" spans="2:17" x14ac:dyDescent="0.25">
      <c r="B20" s="41">
        <f t="shared" si="3"/>
        <v>2033</v>
      </c>
      <c r="C20" s="48"/>
      <c r="D20" s="48"/>
      <c r="E20" s="48">
        <f t="shared" si="0"/>
        <v>0</v>
      </c>
      <c r="F20" s="48">
        <f>ROUND(E20/((1+Inputs!$B$3)^(B20-2015)),0)</f>
        <v>0</v>
      </c>
      <c r="G20" s="87">
        <f>(10578*Inputs!$B$13)</f>
        <v>28031.700000000004</v>
      </c>
      <c r="H20" s="55">
        <f t="shared" si="1"/>
        <v>28031.700000000004</v>
      </c>
      <c r="I20" s="55">
        <f>ROUND(H20/((1+Inputs!$B$3)^(B20-2015)),0)</f>
        <v>8294</v>
      </c>
      <c r="J20" s="55">
        <f t="shared" si="2"/>
        <v>28031.700000000004</v>
      </c>
      <c r="K20" s="57">
        <f>ROUND(J20/((1+Inputs!$B$3)^(B20-2016)),0)</f>
        <v>8874</v>
      </c>
      <c r="N20" s="180">
        <f>(G20)+((1-Inputs!$B$4)*Costs!N19)</f>
        <v>10803098.728856018</v>
      </c>
      <c r="P20" s="579">
        <f t="shared" si="4"/>
        <v>0</v>
      </c>
      <c r="Q20" s="118">
        <f>ROUND(P20/((1+Inputs!$B$3)^(B20-2016)),0)</f>
        <v>0</v>
      </c>
    </row>
    <row r="21" spans="2:17" x14ac:dyDescent="0.25">
      <c r="B21" s="41">
        <f t="shared" si="3"/>
        <v>2034</v>
      </c>
      <c r="C21" s="48"/>
      <c r="D21" s="48"/>
      <c r="E21" s="48">
        <f t="shared" si="0"/>
        <v>0</v>
      </c>
      <c r="F21" s="48">
        <f>ROUND(E21/((1+Inputs!$B$3)^(B21-2015)),0)</f>
        <v>0</v>
      </c>
      <c r="G21" s="87">
        <f>(10578*Inputs!$B$13)</f>
        <v>28031.700000000004</v>
      </c>
      <c r="H21" s="55">
        <f t="shared" si="1"/>
        <v>28031.700000000004</v>
      </c>
      <c r="I21" s="55">
        <f>ROUND(H21/((1+Inputs!$B$3)^(B21-2015)),0)</f>
        <v>7751</v>
      </c>
      <c r="J21" s="55">
        <f t="shared" si="2"/>
        <v>28031.700000000004</v>
      </c>
      <c r="K21" s="57">
        <f>ROUND(J21/((1+Inputs!$B$3)^(B21-2016)),0)</f>
        <v>8294</v>
      </c>
      <c r="N21" s="180">
        <f>(G21)+((1-Inputs!$B$4)*Costs!N20)</f>
        <v>10666923.328177406</v>
      </c>
      <c r="P21" s="579">
        <f t="shared" si="4"/>
        <v>0</v>
      </c>
      <c r="Q21" s="118">
        <f>ROUND(P21/((1+Inputs!$B$3)^(B21-2016)),0)</f>
        <v>0</v>
      </c>
    </row>
    <row r="22" spans="2:17" x14ac:dyDescent="0.25">
      <c r="B22" s="41">
        <f t="shared" si="3"/>
        <v>2035</v>
      </c>
      <c r="C22" s="48"/>
      <c r="D22" s="48"/>
      <c r="E22" s="48">
        <f t="shared" si="0"/>
        <v>0</v>
      </c>
      <c r="F22" s="48">
        <f>ROUND(E22/((1+Inputs!$B$3)^(B22-2015)),0)</f>
        <v>0</v>
      </c>
      <c r="G22" s="87">
        <f>(10578*Inputs!$B$13)+(1000*Inputs!$B$13)</f>
        <v>30681.700000000004</v>
      </c>
      <c r="H22" s="55">
        <f t="shared" si="1"/>
        <v>30681.700000000004</v>
      </c>
      <c r="I22" s="55">
        <f>ROUND(H22/((1+Inputs!$B$3)^(B22-2015)),0)</f>
        <v>7929</v>
      </c>
      <c r="J22" s="55">
        <f t="shared" si="2"/>
        <v>30681.700000000004</v>
      </c>
      <c r="K22" s="57">
        <f>ROUND(J22/((1+Inputs!$B$3)^(B22-2016)),0)</f>
        <v>8484</v>
      </c>
      <c r="N22" s="180">
        <f>(G22)+((1-Inputs!$B$4)*Costs!N21)</f>
        <v>10535467.793589108</v>
      </c>
      <c r="P22" s="579">
        <f t="shared" si="4"/>
        <v>0</v>
      </c>
      <c r="Q22" s="118">
        <f>ROUND(P22/((1+Inputs!$B$3)^(B22-2016)),0)</f>
        <v>0</v>
      </c>
    </row>
    <row r="23" spans="2:17" x14ac:dyDescent="0.25">
      <c r="B23" s="41">
        <f t="shared" si="3"/>
        <v>2036</v>
      </c>
      <c r="C23" s="48"/>
      <c r="D23" s="48"/>
      <c r="E23" s="48">
        <f t="shared" si="0"/>
        <v>0</v>
      </c>
      <c r="F23" s="48">
        <f>ROUND(E23/((1+Inputs!$B$3)^(B23-2015)),0)</f>
        <v>0</v>
      </c>
      <c r="G23" s="87">
        <f>(10578*Inputs!$B$13)</f>
        <v>28031.700000000004</v>
      </c>
      <c r="H23" s="55">
        <f t="shared" si="1"/>
        <v>28031.700000000004</v>
      </c>
      <c r="I23" s="55">
        <f>ROUND(H23/((1+Inputs!$B$3)^(B23-2015)),0)</f>
        <v>6770</v>
      </c>
      <c r="J23" s="55">
        <f t="shared" si="2"/>
        <v>28031.700000000004</v>
      </c>
      <c r="K23" s="57">
        <f>ROUND(J23/((1+Inputs!$B$3)^(B23-2016)),0)</f>
        <v>7244</v>
      </c>
      <c r="N23" s="180">
        <f>(G23)+((1-Inputs!$B$4)*Costs!N22)</f>
        <v>10403360.383126553</v>
      </c>
      <c r="P23" s="579">
        <f t="shared" si="4"/>
        <v>0</v>
      </c>
      <c r="Q23" s="118">
        <f>ROUND(P23/((1+Inputs!$B$3)^(B23-2016)),0)</f>
        <v>0</v>
      </c>
    </row>
    <row r="24" spans="2:17" x14ac:dyDescent="0.25">
      <c r="B24" s="41">
        <f t="shared" si="3"/>
        <v>2037</v>
      </c>
      <c r="C24" s="48"/>
      <c r="D24" s="48"/>
      <c r="E24" s="48">
        <f t="shared" si="0"/>
        <v>0</v>
      </c>
      <c r="F24" s="48">
        <f>ROUND(E24/((1+Inputs!$B$3)^(B24-2015)),0)</f>
        <v>0</v>
      </c>
      <c r="G24" s="87">
        <f>(10578*Inputs!$B$13)</f>
        <v>28031.700000000004</v>
      </c>
      <c r="H24" s="55">
        <f t="shared" si="1"/>
        <v>28031.700000000004</v>
      </c>
      <c r="I24" s="55">
        <f>ROUND(H24/((1+Inputs!$B$3)^(B24-2015)),0)</f>
        <v>6327</v>
      </c>
      <c r="J24" s="55">
        <f t="shared" si="2"/>
        <v>28031.700000000004</v>
      </c>
      <c r="K24" s="57">
        <f>ROUND(J24/((1+Inputs!$B$3)^(B24-2016)),0)</f>
        <v>6770</v>
      </c>
      <c r="N24" s="180">
        <f>(G24)+((1-Inputs!$B$4)*Costs!N23)</f>
        <v>10273261.005303029</v>
      </c>
      <c r="P24" s="579">
        <f t="shared" si="4"/>
        <v>0</v>
      </c>
      <c r="Q24" s="118">
        <f>ROUND(P24/((1+Inputs!$B$3)^(B24-2016)),0)</f>
        <v>0</v>
      </c>
    </row>
    <row r="25" spans="2:17" x14ac:dyDescent="0.25">
      <c r="B25" s="41">
        <f t="shared" si="3"/>
        <v>2038</v>
      </c>
      <c r="C25" s="48"/>
      <c r="D25" s="48"/>
      <c r="E25" s="48">
        <f t="shared" si="0"/>
        <v>0</v>
      </c>
      <c r="F25" s="48">
        <f>ROUND(E25/((1+Inputs!$B$3)^(B25-2015)),0)</f>
        <v>0</v>
      </c>
      <c r="G25" s="87">
        <f>(10578*Inputs!$B$13)</f>
        <v>28031.700000000004</v>
      </c>
      <c r="H25" s="55">
        <f t="shared" si="1"/>
        <v>28031.700000000004</v>
      </c>
      <c r="I25" s="55">
        <f>ROUND(H25/((1+Inputs!$B$3)^(B25-2015)),0)</f>
        <v>5913</v>
      </c>
      <c r="J25" s="55">
        <f t="shared" si="2"/>
        <v>28031.700000000004</v>
      </c>
      <c r="K25" s="57">
        <f>ROUND(J25/((1+Inputs!$B$3)^(B25-2016)),0)</f>
        <v>6327</v>
      </c>
      <c r="N25" s="180">
        <f>(G25)+((1-Inputs!$B$4)*Costs!N24)</f>
        <v>10145139.138022423</v>
      </c>
      <c r="P25" s="579">
        <f t="shared" si="4"/>
        <v>0</v>
      </c>
      <c r="Q25" s="118">
        <f>ROUND(P25/((1+Inputs!$B$3)^(B25-2016)),0)</f>
        <v>0</v>
      </c>
    </row>
    <row r="26" spans="2:17" x14ac:dyDescent="0.25">
      <c r="B26" s="41">
        <f t="shared" si="3"/>
        <v>2039</v>
      </c>
      <c r="C26" s="48"/>
      <c r="D26" s="48"/>
      <c r="E26" s="48">
        <f t="shared" si="0"/>
        <v>0</v>
      </c>
      <c r="F26" s="48">
        <f>ROUND(E26/((1+Inputs!$B$3)^(B26-2015)),0)</f>
        <v>0</v>
      </c>
      <c r="G26" s="87">
        <f>(10578*Inputs!$B$13)</f>
        <v>28031.700000000004</v>
      </c>
      <c r="H26" s="55">
        <f t="shared" si="1"/>
        <v>28031.700000000004</v>
      </c>
      <c r="I26" s="55">
        <f>ROUND(H26/((1+Inputs!$B$3)^(B26-2015)),0)</f>
        <v>5526</v>
      </c>
      <c r="J26" s="55">
        <f t="shared" si="2"/>
        <v>28031.700000000004</v>
      </c>
      <c r="K26" s="57">
        <f>ROUND(J26/((1+Inputs!$B$3)^(B26-2016)),0)</f>
        <v>5913</v>
      </c>
      <c r="N26" s="180">
        <f>(G26)+((1-Inputs!$B$4)*Costs!N25)</f>
        <v>10018964.723124482</v>
      </c>
      <c r="P26" s="579">
        <f t="shared" si="4"/>
        <v>0</v>
      </c>
      <c r="Q26" s="118">
        <f>ROUND(P26/((1+Inputs!$B$3)^(B26-2016)),0)</f>
        <v>0</v>
      </c>
    </row>
    <row r="27" spans="2:17" x14ac:dyDescent="0.25">
      <c r="B27" s="41">
        <f t="shared" si="3"/>
        <v>2040</v>
      </c>
      <c r="C27" s="48"/>
      <c r="D27" s="48"/>
      <c r="E27" s="48">
        <f t="shared" si="0"/>
        <v>0</v>
      </c>
      <c r="F27" s="48">
        <f>ROUND(E27/((1+Inputs!$B$3)^(B27-2015)),0)</f>
        <v>0</v>
      </c>
      <c r="G27" s="87">
        <f>(10578*Inputs!$B$13)+(1000*Inputs!$B$13)</f>
        <v>30681.700000000004</v>
      </c>
      <c r="H27" s="55">
        <f t="shared" si="1"/>
        <v>30681.700000000004</v>
      </c>
      <c r="I27" s="55">
        <f>ROUND(H27/((1+Inputs!$B$3)^(B27-2015)),0)</f>
        <v>5653</v>
      </c>
      <c r="J27" s="55">
        <f t="shared" si="2"/>
        <v>30681.700000000004</v>
      </c>
      <c r="K27" s="57">
        <f>ROUND(J27/((1+Inputs!$B$3)^(B27-2016)),0)</f>
        <v>6049</v>
      </c>
      <c r="N27" s="180">
        <f>(G27)+((1-Inputs!$B$4)*Costs!N26)</f>
        <v>9897358.1593329888</v>
      </c>
      <c r="P27" s="579">
        <f t="shared" si="4"/>
        <v>0</v>
      </c>
      <c r="Q27" s="118">
        <f>ROUND(P27/((1+Inputs!$B$3)^(B27-2016)),0)</f>
        <v>0</v>
      </c>
    </row>
    <row r="28" spans="2:17" x14ac:dyDescent="0.25">
      <c r="B28" s="41">
        <f t="shared" si="3"/>
        <v>2041</v>
      </c>
      <c r="C28" s="48"/>
      <c r="D28" s="48"/>
      <c r="E28" s="48">
        <f t="shared" si="0"/>
        <v>0</v>
      </c>
      <c r="F28" s="48">
        <f>ROUND(E28/((1+Inputs!$B$3)^(B28-2015)),0)</f>
        <v>0</v>
      </c>
      <c r="G28" s="87">
        <f>(10578*Inputs!$B$13)</f>
        <v>28031.700000000004</v>
      </c>
      <c r="H28" s="55">
        <f t="shared" si="1"/>
        <v>28031.700000000004</v>
      </c>
      <c r="I28" s="55">
        <f>ROUND(H28/((1+Inputs!$B$3)^(B28-2015)),0)</f>
        <v>4827</v>
      </c>
      <c r="J28" s="55">
        <f t="shared" si="2"/>
        <v>28031.700000000004</v>
      </c>
      <c r="K28" s="57">
        <f>ROUND(J28/((1+Inputs!$B$3)^(B28-2016)),0)</f>
        <v>5165</v>
      </c>
      <c r="N28" s="180">
        <f>(G28)+((1-Inputs!$B$4)*Costs!N27)</f>
        <v>9774950.0153111275</v>
      </c>
      <c r="P28" s="579">
        <f t="shared" si="4"/>
        <v>0</v>
      </c>
      <c r="Q28" s="118">
        <f>ROUND(P28/((1+Inputs!$B$3)^(B28-2016)),0)</f>
        <v>0</v>
      </c>
    </row>
    <row r="29" spans="2:17" x14ac:dyDescent="0.25">
      <c r="B29" s="41">
        <f t="shared" si="3"/>
        <v>2042</v>
      </c>
      <c r="C29" s="48"/>
      <c r="D29" s="48"/>
      <c r="E29" s="48">
        <f t="shared" si="0"/>
        <v>0</v>
      </c>
      <c r="F29" s="48">
        <f>ROUND(E29/((1+Inputs!$B$3)^(B29-2015)),0)</f>
        <v>0</v>
      </c>
      <c r="G29" s="87">
        <f>(10578*Inputs!$B$13)</f>
        <v>28031.700000000004</v>
      </c>
      <c r="H29" s="55">
        <f t="shared" si="1"/>
        <v>28031.700000000004</v>
      </c>
      <c r="I29" s="55">
        <f>ROUND(H29/((1+Inputs!$B$3)^(B29-2015)),0)</f>
        <v>4511</v>
      </c>
      <c r="J29" s="55">
        <f t="shared" si="2"/>
        <v>28031.700000000004</v>
      </c>
      <c r="K29" s="57">
        <f>ROUND(J29/((1+Inputs!$B$3)^(B29-2016)),0)</f>
        <v>4827</v>
      </c>
      <c r="N29" s="180">
        <f>(G29)+((1-Inputs!$B$4)*Costs!N28)</f>
        <v>9654402.4750783984</v>
      </c>
      <c r="P29" s="579">
        <f t="shared" si="4"/>
        <v>0</v>
      </c>
      <c r="Q29" s="118">
        <f>ROUND(P29/((1+Inputs!$B$3)^(B29-2016)),0)</f>
        <v>0</v>
      </c>
    </row>
    <row r="30" spans="2:17" x14ac:dyDescent="0.25">
      <c r="B30" s="41">
        <f t="shared" si="3"/>
        <v>2043</v>
      </c>
      <c r="C30" s="48"/>
      <c r="D30" s="48"/>
      <c r="E30" s="48">
        <f t="shared" si="0"/>
        <v>0</v>
      </c>
      <c r="F30" s="48">
        <f>ROUND(E30/((1+Inputs!$B$3)^(B30-2015)),0)</f>
        <v>0</v>
      </c>
      <c r="G30" s="87">
        <f>(10578*Inputs!$B$13)</f>
        <v>28031.700000000004</v>
      </c>
      <c r="H30" s="55">
        <f t="shared" si="1"/>
        <v>28031.700000000004</v>
      </c>
      <c r="I30" s="55">
        <f>ROUND(H30/((1+Inputs!$B$3)^(B30-2015)),0)</f>
        <v>4216</v>
      </c>
      <c r="J30" s="55">
        <f t="shared" si="2"/>
        <v>28031.700000000004</v>
      </c>
      <c r="K30" s="57">
        <f>ROUND(J30/((1+Inputs!$B$3)^(B30-2016)),0)</f>
        <v>4511</v>
      </c>
      <c r="N30" s="180">
        <f>(G30)+((1-Inputs!$B$4)*Costs!N29)</f>
        <v>9535687.257457206</v>
      </c>
      <c r="P30" s="579">
        <f t="shared" si="4"/>
        <v>0</v>
      </c>
      <c r="Q30" s="118">
        <f>ROUND(P30/((1+Inputs!$B$3)^(B30-2016)),0)</f>
        <v>0</v>
      </c>
    </row>
    <row r="31" spans="2:17" x14ac:dyDescent="0.25">
      <c r="B31" s="41">
        <f t="shared" si="3"/>
        <v>2044</v>
      </c>
      <c r="C31" s="48"/>
      <c r="D31" s="48"/>
      <c r="E31" s="48">
        <f t="shared" si="0"/>
        <v>0</v>
      </c>
      <c r="F31" s="48">
        <f>ROUND(E31/((1+Inputs!$B$3)^(B31-2015)),0)</f>
        <v>0</v>
      </c>
      <c r="G31" s="87">
        <f>(10578*Inputs!$B$13)</f>
        <v>28031.700000000004</v>
      </c>
      <c r="H31" s="55">
        <f t="shared" si="1"/>
        <v>28031.700000000004</v>
      </c>
      <c r="I31" s="55">
        <f>ROUND(H31/((1+Inputs!$B$3)^(B31-2015)),0)</f>
        <v>3940</v>
      </c>
      <c r="J31" s="55">
        <f t="shared" si="2"/>
        <v>28031.700000000004</v>
      </c>
      <c r="K31" s="57">
        <f>ROUND(J31/((1+Inputs!$B$3)^(B31-2016)),0)</f>
        <v>4216</v>
      </c>
      <c r="N31" s="180">
        <f>(G31)+((1-Inputs!$B$4)*Costs!N30)</f>
        <v>9418776.5111438558</v>
      </c>
      <c r="P31" s="579">
        <f t="shared" si="4"/>
        <v>0</v>
      </c>
      <c r="Q31" s="118">
        <f>ROUND(P31/((1+Inputs!$B$3)^(B31-2016)),0)</f>
        <v>0</v>
      </c>
    </row>
    <row r="32" spans="2:17" x14ac:dyDescent="0.25">
      <c r="B32" s="41">
        <f t="shared" si="3"/>
        <v>2045</v>
      </c>
      <c r="C32" s="48"/>
      <c r="D32" s="48"/>
      <c r="E32" s="48">
        <f t="shared" si="0"/>
        <v>0</v>
      </c>
      <c r="F32" s="48">
        <f>ROUND(E32/((1+Inputs!$B$3)^(B32-2015)),0)</f>
        <v>0</v>
      </c>
      <c r="G32" s="87">
        <f>(10578*Inputs!$B$13)+(1000*Inputs!$B$13)</f>
        <v>30681.700000000004</v>
      </c>
      <c r="H32" s="55">
        <f t="shared" si="1"/>
        <v>30681.700000000004</v>
      </c>
      <c r="I32" s="55">
        <f>ROUND(H32/((1+Inputs!$B$3)^(B32-2015)),0)</f>
        <v>4031</v>
      </c>
      <c r="J32" s="55">
        <f t="shared" si="2"/>
        <v>30681.700000000004</v>
      </c>
      <c r="K32" s="57">
        <f>ROUND(J32/((1+Inputs!$B$3)^(B32-2016)),0)</f>
        <v>4313</v>
      </c>
      <c r="N32" s="180">
        <f>(G32)+((1-Inputs!$B$4)*Costs!N31)</f>
        <v>9306292.8081744686</v>
      </c>
      <c r="P32" s="579">
        <f t="shared" si="4"/>
        <v>0</v>
      </c>
      <c r="Q32" s="118">
        <f>ROUND(P32/((1+Inputs!$B$3)^(B32-2016)),0)</f>
        <v>0</v>
      </c>
    </row>
    <row r="33" spans="2:17" x14ac:dyDescent="0.25">
      <c r="B33" s="41">
        <f t="shared" si="3"/>
        <v>2046</v>
      </c>
      <c r="C33" s="48"/>
      <c r="D33" s="48"/>
      <c r="E33" s="48">
        <f t="shared" si="0"/>
        <v>0</v>
      </c>
      <c r="F33" s="48">
        <f>ROUND(E33/((1+Inputs!$B$3)^(B33-2015)),0)</f>
        <v>0</v>
      </c>
      <c r="G33" s="87">
        <f>(10578*Inputs!$B$13)</f>
        <v>28031.700000000004</v>
      </c>
      <c r="H33" s="55">
        <f t="shared" si="1"/>
        <v>28031.700000000004</v>
      </c>
      <c r="I33" s="55">
        <f>ROUND(H33/((1+Inputs!$B$3)^(B33-2015)),0)</f>
        <v>3442</v>
      </c>
      <c r="J33" s="55">
        <f t="shared" si="2"/>
        <v>28031.700000000004</v>
      </c>
      <c r="K33" s="57">
        <f>ROUND(J33/((1+Inputs!$B$3)^(B33-2016)),0)</f>
        <v>3682</v>
      </c>
      <c r="N33" s="180">
        <f>(G33)+((1-Inputs!$B$4)*Costs!N32)</f>
        <v>9192868.8574902155</v>
      </c>
      <c r="P33" s="579">
        <f t="shared" si="4"/>
        <v>0</v>
      </c>
      <c r="Q33" s="118">
        <f>ROUND(P33/((1+Inputs!$B$3)^(B33-2016)),0)</f>
        <v>0</v>
      </c>
    </row>
    <row r="34" spans="2:17" x14ac:dyDescent="0.25">
      <c r="B34" s="41">
        <f t="shared" si="3"/>
        <v>2047</v>
      </c>
      <c r="C34" s="48"/>
      <c r="D34" s="48"/>
      <c r="E34" s="48">
        <f t="shared" si="0"/>
        <v>0</v>
      </c>
      <c r="F34" s="48">
        <f>ROUND(E34/((1+Inputs!$B$3)^(B34-2015)),0)</f>
        <v>0</v>
      </c>
      <c r="G34" s="87">
        <f>(10578*Inputs!$B$13)</f>
        <v>28031.700000000004</v>
      </c>
      <c r="H34" s="55">
        <f t="shared" si="1"/>
        <v>28031.700000000004</v>
      </c>
      <c r="I34" s="55">
        <f>ROUND(H34/((1+Inputs!$B$3)^(B34-2015)),0)</f>
        <v>3216</v>
      </c>
      <c r="J34" s="55">
        <f t="shared" si="2"/>
        <v>28031.700000000004</v>
      </c>
      <c r="K34" s="57">
        <f>ROUND(J34/((1+Inputs!$B$3)^(B34-2016)),0)</f>
        <v>3442</v>
      </c>
      <c r="N34" s="180">
        <f>(G34)+((1-Inputs!$B$4)*Costs!N33)</f>
        <v>9081168.9508563634</v>
      </c>
      <c r="P34" s="579">
        <f t="shared" si="4"/>
        <v>0</v>
      </c>
      <c r="Q34" s="118">
        <f>ROUND(P34/((1+Inputs!$B$3)^(B34-2016)),0)</f>
        <v>0</v>
      </c>
    </row>
    <row r="35" spans="2:17" x14ac:dyDescent="0.25">
      <c r="B35" s="41">
        <f t="shared" si="3"/>
        <v>2048</v>
      </c>
      <c r="C35" s="48"/>
      <c r="D35" s="48"/>
      <c r="E35" s="48">
        <f t="shared" si="0"/>
        <v>0</v>
      </c>
      <c r="F35" s="48">
        <f>ROUND(E35/((1+Inputs!$B$3)^(B35-2015)),0)</f>
        <v>0</v>
      </c>
      <c r="G35" s="87">
        <f>(10578*Inputs!$B$13)</f>
        <v>28031.700000000004</v>
      </c>
      <c r="H35" s="55">
        <f t="shared" si="1"/>
        <v>28031.700000000004</v>
      </c>
      <c r="I35" s="55">
        <f>ROUND(H35/((1+Inputs!$B$3)^(B35-2015)),0)</f>
        <v>3006</v>
      </c>
      <c r="J35" s="55">
        <f t="shared" si="2"/>
        <v>28031.700000000004</v>
      </c>
      <c r="K35" s="57">
        <f>ROUND(J35/((1+Inputs!$B$3)^(B35-2016)),0)</f>
        <v>3216</v>
      </c>
      <c r="N35" s="180">
        <f>(G35)+((1-Inputs!$B$4)*Costs!N34)</f>
        <v>8971166.8828033451</v>
      </c>
      <c r="P35" s="579">
        <f t="shared" si="4"/>
        <v>0</v>
      </c>
      <c r="Q35" s="118">
        <f>ROUND(P35/((1+Inputs!$B$3)^(B35-2016)),0)</f>
        <v>0</v>
      </c>
    </row>
    <row r="36" spans="2:17" s="4" customFormat="1" ht="15.75" thickBot="1" x14ac:dyDescent="0.3">
      <c r="B36" s="41">
        <f t="shared" si="3"/>
        <v>2049</v>
      </c>
      <c r="C36" s="48"/>
      <c r="D36" s="48"/>
      <c r="E36" s="48">
        <f>-N36</f>
        <v>-8862836.8461847343</v>
      </c>
      <c r="F36" s="48">
        <f>ROUND(E36/((1+Inputs!$B$3)^(B36-2015)),0)</f>
        <v>-888228</v>
      </c>
      <c r="G36" s="87">
        <f>(10578*Inputs!$B$13)</f>
        <v>28031.700000000004</v>
      </c>
      <c r="H36" s="55">
        <f t="shared" si="1"/>
        <v>28031.700000000004</v>
      </c>
      <c r="I36" s="55">
        <f>ROUND(H36/((1+Inputs!$B$3)^(B36-2015)),0)</f>
        <v>2809</v>
      </c>
      <c r="J36" s="55">
        <f>SUM(E36,H36)</f>
        <v>-8834805.146184735</v>
      </c>
      <c r="K36" s="57">
        <f>ROUND(J36/((1+Inputs!$B$3)^(B36-2016)),0)</f>
        <v>-947398</v>
      </c>
      <c r="N36" s="180">
        <f>(G36)+((1-Inputs!$B$4)*Costs!N35)</f>
        <v>8862836.8461847343</v>
      </c>
      <c r="P36" s="580">
        <v>0</v>
      </c>
      <c r="Q36" s="577">
        <f>ROUND(P36/((1+Inputs!$B$3)^(B36-2016)),0)</f>
        <v>0</v>
      </c>
    </row>
    <row r="37" spans="2:17" ht="15.75" thickBot="1" x14ac:dyDescent="0.3">
      <c r="B37" s="52" t="s">
        <v>165</v>
      </c>
      <c r="C37" s="58">
        <f t="shared" ref="C37:K37" si="5">SUM(C3:C36)</f>
        <v>7395000</v>
      </c>
      <c r="D37" s="58">
        <f t="shared" si="5"/>
        <v>12604932.08</v>
      </c>
      <c r="E37" s="58">
        <f t="shared" si="5"/>
        <v>11137095.233815264</v>
      </c>
      <c r="F37" s="58">
        <f t="shared" si="5"/>
        <v>15861160</v>
      </c>
      <c r="G37" s="424">
        <f t="shared" si="5"/>
        <v>856850.99999999965</v>
      </c>
      <c r="H37" s="62">
        <f t="shared" si="5"/>
        <v>856850.99999999965</v>
      </c>
      <c r="I37" s="62">
        <f t="shared" si="5"/>
        <v>271088</v>
      </c>
      <c r="J37" s="62">
        <f>SUM(J3:J36)</f>
        <v>11993946.233815242</v>
      </c>
      <c r="K37" s="63">
        <f t="shared" si="5"/>
        <v>17261506</v>
      </c>
      <c r="N37" s="63"/>
      <c r="P37" s="581">
        <f>SUM(P3:P36)</f>
        <v>15999932.079999998</v>
      </c>
      <c r="Q37" s="578">
        <f>SUM(Q3:Q36)</f>
        <v>13921844</v>
      </c>
    </row>
    <row r="40" spans="2:17" ht="15.75" thickBot="1" x14ac:dyDescent="0.3"/>
    <row r="41" spans="2:17" ht="45" x14ac:dyDescent="0.25">
      <c r="B41" s="607" t="s">
        <v>136</v>
      </c>
      <c r="C41" s="53" t="s">
        <v>254</v>
      </c>
      <c r="D41" s="53" t="s">
        <v>255</v>
      </c>
      <c r="E41" s="53" t="s">
        <v>384</v>
      </c>
      <c r="F41" s="53" t="s">
        <v>385</v>
      </c>
      <c r="G41" s="606" t="s">
        <v>257</v>
      </c>
      <c r="H41" s="54" t="s">
        <v>386</v>
      </c>
      <c r="I41" s="54" t="s">
        <v>387</v>
      </c>
      <c r="J41" s="54" t="s">
        <v>1</v>
      </c>
      <c r="K41" s="56" t="s">
        <v>256</v>
      </c>
    </row>
    <row r="42" spans="2:17" x14ac:dyDescent="0.25">
      <c r="B42" s="41">
        <v>2016</v>
      </c>
      <c r="C42" s="48">
        <f>ROUND(C3,-3)</f>
        <v>5520000</v>
      </c>
      <c r="D42" s="48">
        <f t="shared" ref="D42:K42" si="6">ROUND(D3,-3)</f>
        <v>0</v>
      </c>
      <c r="E42" s="48">
        <f t="shared" si="6"/>
        <v>5520000</v>
      </c>
      <c r="F42" s="55">
        <f t="shared" si="6"/>
        <v>5159000</v>
      </c>
      <c r="G42" s="87">
        <f t="shared" si="6"/>
        <v>0</v>
      </c>
      <c r="H42" s="55">
        <f t="shared" si="6"/>
        <v>0</v>
      </c>
      <c r="I42" s="55">
        <f t="shared" si="6"/>
        <v>0</v>
      </c>
      <c r="J42" s="55">
        <f t="shared" si="6"/>
        <v>5520000</v>
      </c>
      <c r="K42" s="57">
        <f t="shared" si="6"/>
        <v>5520000</v>
      </c>
    </row>
    <row r="43" spans="2:17" x14ac:dyDescent="0.25">
      <c r="B43" s="41">
        <f>1+B42</f>
        <v>2017</v>
      </c>
      <c r="C43" s="48">
        <f t="shared" ref="C43:K43" si="7">ROUND(C4,-3)</f>
        <v>1875000</v>
      </c>
      <c r="D43" s="48">
        <f t="shared" si="7"/>
        <v>0</v>
      </c>
      <c r="E43" s="48">
        <f t="shared" si="7"/>
        <v>1875000</v>
      </c>
      <c r="F43" s="48">
        <f t="shared" si="7"/>
        <v>1638000</v>
      </c>
      <c r="G43" s="87">
        <f t="shared" si="7"/>
        <v>0</v>
      </c>
      <c r="H43" s="55">
        <f t="shared" si="7"/>
        <v>0</v>
      </c>
      <c r="I43" s="55">
        <f t="shared" si="7"/>
        <v>0</v>
      </c>
      <c r="J43" s="55">
        <f t="shared" si="7"/>
        <v>1875000</v>
      </c>
      <c r="K43" s="57">
        <f t="shared" si="7"/>
        <v>1752000</v>
      </c>
    </row>
    <row r="44" spans="2:17" x14ac:dyDescent="0.25">
      <c r="B44" s="41">
        <f t="shared" ref="B44:B75" si="8">1+B43</f>
        <v>2018</v>
      </c>
      <c r="C44" s="48">
        <f t="shared" ref="C44:K44" si="9">ROUND(C5,-3)</f>
        <v>0</v>
      </c>
      <c r="D44" s="48">
        <f t="shared" si="9"/>
        <v>6302000</v>
      </c>
      <c r="E44" s="48">
        <f t="shared" si="9"/>
        <v>6302000</v>
      </c>
      <c r="F44" s="48">
        <f t="shared" si="9"/>
        <v>5145000</v>
      </c>
      <c r="G44" s="87">
        <f t="shared" si="9"/>
        <v>0</v>
      </c>
      <c r="H44" s="55">
        <f t="shared" si="9"/>
        <v>0</v>
      </c>
      <c r="I44" s="55">
        <f t="shared" si="9"/>
        <v>0</v>
      </c>
      <c r="J44" s="55">
        <f t="shared" si="9"/>
        <v>6302000</v>
      </c>
      <c r="K44" s="57">
        <f t="shared" si="9"/>
        <v>5505000</v>
      </c>
    </row>
    <row r="45" spans="2:17" x14ac:dyDescent="0.25">
      <c r="B45" s="41">
        <f t="shared" si="8"/>
        <v>2019</v>
      </c>
      <c r="C45" s="48">
        <f t="shared" ref="C45:K45" si="10">ROUND(C6,-3)</f>
        <v>0</v>
      </c>
      <c r="D45" s="48">
        <f t="shared" si="10"/>
        <v>6302000</v>
      </c>
      <c r="E45" s="48">
        <f t="shared" si="10"/>
        <v>6302000</v>
      </c>
      <c r="F45" s="48">
        <f t="shared" si="10"/>
        <v>4808000</v>
      </c>
      <c r="G45" s="87">
        <f t="shared" si="10"/>
        <v>0</v>
      </c>
      <c r="H45" s="55">
        <f t="shared" si="10"/>
        <v>0</v>
      </c>
      <c r="I45" s="55">
        <f t="shared" si="10"/>
        <v>0</v>
      </c>
      <c r="J45" s="55">
        <f t="shared" si="10"/>
        <v>6302000</v>
      </c>
      <c r="K45" s="57">
        <f t="shared" si="10"/>
        <v>5145000</v>
      </c>
    </row>
    <row r="46" spans="2:17" x14ac:dyDescent="0.25">
      <c r="B46" s="41">
        <f t="shared" si="8"/>
        <v>2020</v>
      </c>
      <c r="C46" s="48">
        <f t="shared" ref="C46:K46" si="11">ROUND(C7,-3)</f>
        <v>0</v>
      </c>
      <c r="D46" s="48">
        <f t="shared" si="11"/>
        <v>0</v>
      </c>
      <c r="E46" s="48">
        <f t="shared" si="11"/>
        <v>0</v>
      </c>
      <c r="F46" s="48">
        <f t="shared" si="11"/>
        <v>0</v>
      </c>
      <c r="G46" s="87">
        <f t="shared" si="11"/>
        <v>31000</v>
      </c>
      <c r="H46" s="55">
        <f t="shared" si="11"/>
        <v>31000</v>
      </c>
      <c r="I46" s="55">
        <f t="shared" si="11"/>
        <v>22000</v>
      </c>
      <c r="J46" s="55">
        <f t="shared" si="11"/>
        <v>31000</v>
      </c>
      <c r="K46" s="57">
        <f t="shared" si="11"/>
        <v>23000</v>
      </c>
    </row>
    <row r="47" spans="2:17" x14ac:dyDescent="0.25">
      <c r="B47" s="41">
        <f t="shared" si="8"/>
        <v>2021</v>
      </c>
      <c r="C47" s="48">
        <f t="shared" ref="C47:K47" si="12">ROUND(C8,-3)</f>
        <v>0</v>
      </c>
      <c r="D47" s="48">
        <f t="shared" si="12"/>
        <v>0</v>
      </c>
      <c r="E47" s="48">
        <f t="shared" si="12"/>
        <v>0</v>
      </c>
      <c r="F47" s="48">
        <f t="shared" si="12"/>
        <v>0</v>
      </c>
      <c r="G47" s="87">
        <f t="shared" si="12"/>
        <v>28000</v>
      </c>
      <c r="H47" s="55">
        <f t="shared" si="12"/>
        <v>28000</v>
      </c>
      <c r="I47" s="55">
        <f t="shared" si="12"/>
        <v>19000</v>
      </c>
      <c r="J47" s="55">
        <f t="shared" si="12"/>
        <v>28000</v>
      </c>
      <c r="K47" s="57">
        <f t="shared" si="12"/>
        <v>20000</v>
      </c>
    </row>
    <row r="48" spans="2:17" x14ac:dyDescent="0.25">
      <c r="B48" s="41">
        <f t="shared" si="8"/>
        <v>2022</v>
      </c>
      <c r="C48" s="48">
        <f t="shared" ref="C48:K48" si="13">ROUND(C9,-3)</f>
        <v>0</v>
      </c>
      <c r="D48" s="48">
        <f t="shared" si="13"/>
        <v>0</v>
      </c>
      <c r="E48" s="48">
        <f t="shared" si="13"/>
        <v>0</v>
      </c>
      <c r="F48" s="48">
        <f t="shared" si="13"/>
        <v>0</v>
      </c>
      <c r="G48" s="87">
        <f t="shared" si="13"/>
        <v>28000</v>
      </c>
      <c r="H48" s="55">
        <f t="shared" si="13"/>
        <v>28000</v>
      </c>
      <c r="I48" s="55">
        <f t="shared" si="13"/>
        <v>17000</v>
      </c>
      <c r="J48" s="55">
        <f t="shared" si="13"/>
        <v>28000</v>
      </c>
      <c r="K48" s="57">
        <f t="shared" si="13"/>
        <v>19000</v>
      </c>
    </row>
    <row r="49" spans="2:11" x14ac:dyDescent="0.25">
      <c r="B49" s="41">
        <f t="shared" si="8"/>
        <v>2023</v>
      </c>
      <c r="C49" s="48">
        <f t="shared" ref="C49:K49" si="14">ROUND(C10,-3)</f>
        <v>0</v>
      </c>
      <c r="D49" s="48">
        <f t="shared" si="14"/>
        <v>0</v>
      </c>
      <c r="E49" s="48">
        <f t="shared" si="14"/>
        <v>0</v>
      </c>
      <c r="F49" s="48">
        <f t="shared" si="14"/>
        <v>0</v>
      </c>
      <c r="G49" s="87">
        <f t="shared" si="14"/>
        <v>28000</v>
      </c>
      <c r="H49" s="55">
        <f t="shared" si="14"/>
        <v>28000</v>
      </c>
      <c r="I49" s="55">
        <f t="shared" si="14"/>
        <v>16000</v>
      </c>
      <c r="J49" s="55">
        <f t="shared" si="14"/>
        <v>28000</v>
      </c>
      <c r="K49" s="57">
        <f t="shared" si="14"/>
        <v>17000</v>
      </c>
    </row>
    <row r="50" spans="2:11" x14ac:dyDescent="0.25">
      <c r="B50" s="41">
        <f t="shared" si="8"/>
        <v>2024</v>
      </c>
      <c r="C50" s="48">
        <f t="shared" ref="C50:K50" si="15">ROUND(C11,-3)</f>
        <v>0</v>
      </c>
      <c r="D50" s="48">
        <f t="shared" si="15"/>
        <v>0</v>
      </c>
      <c r="E50" s="48">
        <f t="shared" si="15"/>
        <v>0</v>
      </c>
      <c r="F50" s="48">
        <f t="shared" si="15"/>
        <v>0</v>
      </c>
      <c r="G50" s="87">
        <f t="shared" si="15"/>
        <v>28000</v>
      </c>
      <c r="H50" s="55">
        <f t="shared" si="15"/>
        <v>28000</v>
      </c>
      <c r="I50" s="55">
        <f t="shared" si="15"/>
        <v>15000</v>
      </c>
      <c r="J50" s="55">
        <f t="shared" si="15"/>
        <v>28000</v>
      </c>
      <c r="K50" s="57">
        <f t="shared" si="15"/>
        <v>16000</v>
      </c>
    </row>
    <row r="51" spans="2:11" x14ac:dyDescent="0.25">
      <c r="B51" s="41">
        <f t="shared" si="8"/>
        <v>2025</v>
      </c>
      <c r="C51" s="48">
        <f t="shared" ref="C51:K51" si="16">ROUND(C12,-3)</f>
        <v>0</v>
      </c>
      <c r="D51" s="48">
        <f t="shared" si="16"/>
        <v>0</v>
      </c>
      <c r="E51" s="48">
        <f t="shared" si="16"/>
        <v>0</v>
      </c>
      <c r="F51" s="48">
        <f t="shared" si="16"/>
        <v>0</v>
      </c>
      <c r="G51" s="87">
        <f t="shared" si="16"/>
        <v>31000</v>
      </c>
      <c r="H51" s="55">
        <f t="shared" si="16"/>
        <v>31000</v>
      </c>
      <c r="I51" s="55">
        <f t="shared" si="16"/>
        <v>16000</v>
      </c>
      <c r="J51" s="55">
        <f t="shared" si="16"/>
        <v>31000</v>
      </c>
      <c r="K51" s="57">
        <f t="shared" si="16"/>
        <v>17000</v>
      </c>
    </row>
    <row r="52" spans="2:11" x14ac:dyDescent="0.25">
      <c r="B52" s="41">
        <f t="shared" si="8"/>
        <v>2026</v>
      </c>
      <c r="C52" s="48">
        <f t="shared" ref="C52:K52" si="17">ROUND(C13,-3)</f>
        <v>0</v>
      </c>
      <c r="D52" s="48">
        <f t="shared" si="17"/>
        <v>0</v>
      </c>
      <c r="E52" s="48">
        <f t="shared" si="17"/>
        <v>0</v>
      </c>
      <c r="F52" s="48">
        <f t="shared" si="17"/>
        <v>0</v>
      </c>
      <c r="G52" s="87">
        <f t="shared" si="17"/>
        <v>28000</v>
      </c>
      <c r="H52" s="55">
        <f t="shared" si="17"/>
        <v>28000</v>
      </c>
      <c r="I52" s="55">
        <f t="shared" si="17"/>
        <v>13000</v>
      </c>
      <c r="J52" s="55">
        <f t="shared" si="17"/>
        <v>28000</v>
      </c>
      <c r="K52" s="57">
        <f t="shared" si="17"/>
        <v>14000</v>
      </c>
    </row>
    <row r="53" spans="2:11" x14ac:dyDescent="0.25">
      <c r="B53" s="41">
        <f t="shared" si="8"/>
        <v>2027</v>
      </c>
      <c r="C53" s="48">
        <f t="shared" ref="C53:K53" si="18">ROUND(C14,-3)</f>
        <v>0</v>
      </c>
      <c r="D53" s="48">
        <f t="shared" si="18"/>
        <v>0</v>
      </c>
      <c r="E53" s="48">
        <f t="shared" si="18"/>
        <v>0</v>
      </c>
      <c r="F53" s="48">
        <f t="shared" si="18"/>
        <v>0</v>
      </c>
      <c r="G53" s="87">
        <f t="shared" si="18"/>
        <v>28000</v>
      </c>
      <c r="H53" s="55">
        <f t="shared" si="18"/>
        <v>28000</v>
      </c>
      <c r="I53" s="55">
        <f t="shared" si="18"/>
        <v>12000</v>
      </c>
      <c r="J53" s="55">
        <f t="shared" si="18"/>
        <v>28000</v>
      </c>
      <c r="K53" s="57">
        <f t="shared" si="18"/>
        <v>13000</v>
      </c>
    </row>
    <row r="54" spans="2:11" x14ac:dyDescent="0.25">
      <c r="B54" s="41">
        <f t="shared" si="8"/>
        <v>2028</v>
      </c>
      <c r="C54" s="48">
        <f t="shared" ref="C54:K54" si="19">ROUND(C15,-3)</f>
        <v>0</v>
      </c>
      <c r="D54" s="48">
        <f t="shared" si="19"/>
        <v>0</v>
      </c>
      <c r="E54" s="48">
        <f t="shared" si="19"/>
        <v>0</v>
      </c>
      <c r="F54" s="48">
        <f t="shared" si="19"/>
        <v>0</v>
      </c>
      <c r="G54" s="87">
        <f t="shared" si="19"/>
        <v>28000</v>
      </c>
      <c r="H54" s="55">
        <f t="shared" si="19"/>
        <v>28000</v>
      </c>
      <c r="I54" s="55">
        <f t="shared" si="19"/>
        <v>12000</v>
      </c>
      <c r="J54" s="55">
        <f t="shared" si="19"/>
        <v>28000</v>
      </c>
      <c r="K54" s="57">
        <f t="shared" si="19"/>
        <v>12000</v>
      </c>
    </row>
    <row r="55" spans="2:11" x14ac:dyDescent="0.25">
      <c r="B55" s="41">
        <f t="shared" si="8"/>
        <v>2029</v>
      </c>
      <c r="C55" s="48">
        <f t="shared" ref="C55:K55" si="20">ROUND(C16,-3)</f>
        <v>0</v>
      </c>
      <c r="D55" s="48">
        <f t="shared" si="20"/>
        <v>0</v>
      </c>
      <c r="E55" s="48">
        <f t="shared" si="20"/>
        <v>0</v>
      </c>
      <c r="F55" s="48">
        <f t="shared" si="20"/>
        <v>0</v>
      </c>
      <c r="G55" s="87">
        <f t="shared" si="20"/>
        <v>28000</v>
      </c>
      <c r="H55" s="55">
        <f t="shared" si="20"/>
        <v>28000</v>
      </c>
      <c r="I55" s="55">
        <f t="shared" si="20"/>
        <v>11000</v>
      </c>
      <c r="J55" s="55">
        <f t="shared" si="20"/>
        <v>28000</v>
      </c>
      <c r="K55" s="57">
        <f t="shared" si="20"/>
        <v>12000</v>
      </c>
    </row>
    <row r="56" spans="2:11" x14ac:dyDescent="0.25">
      <c r="B56" s="41">
        <f t="shared" si="8"/>
        <v>2030</v>
      </c>
      <c r="C56" s="48">
        <f t="shared" ref="C56:K56" si="21">ROUND(C17,-3)</f>
        <v>0</v>
      </c>
      <c r="D56" s="48">
        <f t="shared" si="21"/>
        <v>0</v>
      </c>
      <c r="E56" s="48">
        <f t="shared" si="21"/>
        <v>0</v>
      </c>
      <c r="F56" s="48">
        <f t="shared" si="21"/>
        <v>0</v>
      </c>
      <c r="G56" s="87">
        <f t="shared" si="21"/>
        <v>31000</v>
      </c>
      <c r="H56" s="55">
        <f t="shared" si="21"/>
        <v>31000</v>
      </c>
      <c r="I56" s="55">
        <f t="shared" si="21"/>
        <v>11000</v>
      </c>
      <c r="J56" s="55">
        <f t="shared" si="21"/>
        <v>31000</v>
      </c>
      <c r="K56" s="57">
        <f t="shared" si="21"/>
        <v>12000</v>
      </c>
    </row>
    <row r="57" spans="2:11" x14ac:dyDescent="0.25">
      <c r="B57" s="41">
        <f t="shared" si="8"/>
        <v>2031</v>
      </c>
      <c r="C57" s="48">
        <f t="shared" ref="C57:K57" si="22">ROUND(C18,-3)</f>
        <v>0</v>
      </c>
      <c r="D57" s="48">
        <f t="shared" si="22"/>
        <v>0</v>
      </c>
      <c r="E57" s="48">
        <f t="shared" si="22"/>
        <v>0</v>
      </c>
      <c r="F57" s="48">
        <f t="shared" si="22"/>
        <v>0</v>
      </c>
      <c r="G57" s="87">
        <f t="shared" si="22"/>
        <v>28000</v>
      </c>
      <c r="H57" s="55">
        <f t="shared" si="22"/>
        <v>28000</v>
      </c>
      <c r="I57" s="55">
        <f t="shared" si="22"/>
        <v>9000</v>
      </c>
      <c r="J57" s="55">
        <f t="shared" si="22"/>
        <v>28000</v>
      </c>
      <c r="K57" s="57">
        <f t="shared" si="22"/>
        <v>10000</v>
      </c>
    </row>
    <row r="58" spans="2:11" x14ac:dyDescent="0.25">
      <c r="B58" s="41">
        <f t="shared" si="8"/>
        <v>2032</v>
      </c>
      <c r="C58" s="48">
        <f t="shared" ref="C58:K58" si="23">ROUND(C19,-3)</f>
        <v>0</v>
      </c>
      <c r="D58" s="48">
        <f t="shared" si="23"/>
        <v>0</v>
      </c>
      <c r="E58" s="48">
        <f t="shared" si="23"/>
        <v>0</v>
      </c>
      <c r="F58" s="48">
        <f t="shared" si="23"/>
        <v>0</v>
      </c>
      <c r="G58" s="87">
        <f t="shared" si="23"/>
        <v>28000</v>
      </c>
      <c r="H58" s="55">
        <f t="shared" si="23"/>
        <v>28000</v>
      </c>
      <c r="I58" s="55">
        <f t="shared" si="23"/>
        <v>9000</v>
      </c>
      <c r="J58" s="55">
        <f t="shared" si="23"/>
        <v>28000</v>
      </c>
      <c r="K58" s="57">
        <f t="shared" si="23"/>
        <v>9000</v>
      </c>
    </row>
    <row r="59" spans="2:11" x14ac:dyDescent="0.25">
      <c r="B59" s="41">
        <f t="shared" si="8"/>
        <v>2033</v>
      </c>
      <c r="C59" s="48">
        <f t="shared" ref="C59:K59" si="24">ROUND(C20,-3)</f>
        <v>0</v>
      </c>
      <c r="D59" s="48">
        <f t="shared" si="24"/>
        <v>0</v>
      </c>
      <c r="E59" s="48">
        <f t="shared" si="24"/>
        <v>0</v>
      </c>
      <c r="F59" s="48">
        <f t="shared" si="24"/>
        <v>0</v>
      </c>
      <c r="G59" s="87">
        <f t="shared" si="24"/>
        <v>28000</v>
      </c>
      <c r="H59" s="55">
        <f t="shared" si="24"/>
        <v>28000</v>
      </c>
      <c r="I59" s="55">
        <f t="shared" si="24"/>
        <v>8000</v>
      </c>
      <c r="J59" s="55">
        <f t="shared" si="24"/>
        <v>28000</v>
      </c>
      <c r="K59" s="57">
        <f t="shared" si="24"/>
        <v>9000</v>
      </c>
    </row>
    <row r="60" spans="2:11" x14ac:dyDescent="0.25">
      <c r="B60" s="41">
        <f t="shared" si="8"/>
        <v>2034</v>
      </c>
      <c r="C60" s="48">
        <f t="shared" ref="C60:K60" si="25">ROUND(C21,-3)</f>
        <v>0</v>
      </c>
      <c r="D60" s="48">
        <f t="shared" si="25"/>
        <v>0</v>
      </c>
      <c r="E60" s="48">
        <f t="shared" si="25"/>
        <v>0</v>
      </c>
      <c r="F60" s="48">
        <f t="shared" si="25"/>
        <v>0</v>
      </c>
      <c r="G60" s="87">
        <f t="shared" si="25"/>
        <v>28000</v>
      </c>
      <c r="H60" s="55">
        <f t="shared" si="25"/>
        <v>28000</v>
      </c>
      <c r="I60" s="55">
        <f t="shared" si="25"/>
        <v>8000</v>
      </c>
      <c r="J60" s="55">
        <f t="shared" si="25"/>
        <v>28000</v>
      </c>
      <c r="K60" s="57">
        <f t="shared" si="25"/>
        <v>8000</v>
      </c>
    </row>
    <row r="61" spans="2:11" x14ac:dyDescent="0.25">
      <c r="B61" s="41">
        <f t="shared" si="8"/>
        <v>2035</v>
      </c>
      <c r="C61" s="48">
        <f t="shared" ref="C61:K61" si="26">ROUND(C22,-3)</f>
        <v>0</v>
      </c>
      <c r="D61" s="48">
        <f t="shared" si="26"/>
        <v>0</v>
      </c>
      <c r="E61" s="48">
        <f t="shared" si="26"/>
        <v>0</v>
      </c>
      <c r="F61" s="48">
        <f t="shared" si="26"/>
        <v>0</v>
      </c>
      <c r="G61" s="87">
        <f t="shared" si="26"/>
        <v>31000</v>
      </c>
      <c r="H61" s="55">
        <f t="shared" si="26"/>
        <v>31000</v>
      </c>
      <c r="I61" s="55">
        <f t="shared" si="26"/>
        <v>8000</v>
      </c>
      <c r="J61" s="55">
        <f t="shared" si="26"/>
        <v>31000</v>
      </c>
      <c r="K61" s="57">
        <f t="shared" si="26"/>
        <v>8000</v>
      </c>
    </row>
    <row r="62" spans="2:11" x14ac:dyDescent="0.25">
      <c r="B62" s="41">
        <f t="shared" si="8"/>
        <v>2036</v>
      </c>
      <c r="C62" s="48">
        <f t="shared" ref="C62:K62" si="27">ROUND(C23,-3)</f>
        <v>0</v>
      </c>
      <c r="D62" s="48">
        <f t="shared" si="27"/>
        <v>0</v>
      </c>
      <c r="E62" s="48">
        <f t="shared" si="27"/>
        <v>0</v>
      </c>
      <c r="F62" s="48">
        <f t="shared" si="27"/>
        <v>0</v>
      </c>
      <c r="G62" s="87">
        <f t="shared" si="27"/>
        <v>28000</v>
      </c>
      <c r="H62" s="55">
        <f t="shared" si="27"/>
        <v>28000</v>
      </c>
      <c r="I62" s="55">
        <f t="shared" si="27"/>
        <v>7000</v>
      </c>
      <c r="J62" s="55">
        <f t="shared" si="27"/>
        <v>28000</v>
      </c>
      <c r="K62" s="57">
        <f t="shared" si="27"/>
        <v>7000</v>
      </c>
    </row>
    <row r="63" spans="2:11" x14ac:dyDescent="0.25">
      <c r="B63" s="41">
        <f t="shared" si="8"/>
        <v>2037</v>
      </c>
      <c r="C63" s="48">
        <f t="shared" ref="C63:K63" si="28">ROUND(C24,-3)</f>
        <v>0</v>
      </c>
      <c r="D63" s="48">
        <f t="shared" si="28"/>
        <v>0</v>
      </c>
      <c r="E63" s="48">
        <f t="shared" si="28"/>
        <v>0</v>
      </c>
      <c r="F63" s="48">
        <f t="shared" si="28"/>
        <v>0</v>
      </c>
      <c r="G63" s="87">
        <f t="shared" si="28"/>
        <v>28000</v>
      </c>
      <c r="H63" s="55">
        <f t="shared" si="28"/>
        <v>28000</v>
      </c>
      <c r="I63" s="55">
        <f t="shared" si="28"/>
        <v>6000</v>
      </c>
      <c r="J63" s="55">
        <f t="shared" si="28"/>
        <v>28000</v>
      </c>
      <c r="K63" s="57">
        <f t="shared" si="28"/>
        <v>7000</v>
      </c>
    </row>
    <row r="64" spans="2:11" x14ac:dyDescent="0.25">
      <c r="B64" s="41">
        <f t="shared" si="8"/>
        <v>2038</v>
      </c>
      <c r="C64" s="48">
        <f t="shared" ref="C64:K64" si="29">ROUND(C25,-3)</f>
        <v>0</v>
      </c>
      <c r="D64" s="48">
        <f t="shared" si="29"/>
        <v>0</v>
      </c>
      <c r="E64" s="48">
        <f t="shared" si="29"/>
        <v>0</v>
      </c>
      <c r="F64" s="48">
        <f t="shared" si="29"/>
        <v>0</v>
      </c>
      <c r="G64" s="87">
        <f t="shared" si="29"/>
        <v>28000</v>
      </c>
      <c r="H64" s="55">
        <f t="shared" si="29"/>
        <v>28000</v>
      </c>
      <c r="I64" s="55">
        <f t="shared" si="29"/>
        <v>6000</v>
      </c>
      <c r="J64" s="55">
        <f t="shared" si="29"/>
        <v>28000</v>
      </c>
      <c r="K64" s="57">
        <f t="shared" si="29"/>
        <v>6000</v>
      </c>
    </row>
    <row r="65" spans="2:11" x14ac:dyDescent="0.25">
      <c r="B65" s="41">
        <f t="shared" si="8"/>
        <v>2039</v>
      </c>
      <c r="C65" s="48">
        <f t="shared" ref="C65:K65" si="30">ROUND(C26,-3)</f>
        <v>0</v>
      </c>
      <c r="D65" s="48">
        <f t="shared" si="30"/>
        <v>0</v>
      </c>
      <c r="E65" s="48">
        <f t="shared" si="30"/>
        <v>0</v>
      </c>
      <c r="F65" s="48">
        <f t="shared" si="30"/>
        <v>0</v>
      </c>
      <c r="G65" s="87">
        <f t="shared" si="30"/>
        <v>28000</v>
      </c>
      <c r="H65" s="55">
        <f t="shared" si="30"/>
        <v>28000</v>
      </c>
      <c r="I65" s="55">
        <f t="shared" si="30"/>
        <v>6000</v>
      </c>
      <c r="J65" s="55">
        <f t="shared" si="30"/>
        <v>28000</v>
      </c>
      <c r="K65" s="57">
        <f t="shared" si="30"/>
        <v>6000</v>
      </c>
    </row>
    <row r="66" spans="2:11" x14ac:dyDescent="0.25">
      <c r="B66" s="41">
        <f t="shared" si="8"/>
        <v>2040</v>
      </c>
      <c r="C66" s="48">
        <f t="shared" ref="C66:K66" si="31">ROUND(C27,-3)</f>
        <v>0</v>
      </c>
      <c r="D66" s="48">
        <f t="shared" si="31"/>
        <v>0</v>
      </c>
      <c r="E66" s="48">
        <f t="shared" si="31"/>
        <v>0</v>
      </c>
      <c r="F66" s="48">
        <f t="shared" si="31"/>
        <v>0</v>
      </c>
      <c r="G66" s="87">
        <f t="shared" si="31"/>
        <v>31000</v>
      </c>
      <c r="H66" s="55">
        <f t="shared" si="31"/>
        <v>31000</v>
      </c>
      <c r="I66" s="55">
        <f t="shared" si="31"/>
        <v>6000</v>
      </c>
      <c r="J66" s="55">
        <f t="shared" si="31"/>
        <v>31000</v>
      </c>
      <c r="K66" s="57">
        <f t="shared" si="31"/>
        <v>6000</v>
      </c>
    </row>
    <row r="67" spans="2:11" x14ac:dyDescent="0.25">
      <c r="B67" s="41">
        <f t="shared" si="8"/>
        <v>2041</v>
      </c>
      <c r="C67" s="48">
        <f t="shared" ref="C67:K67" si="32">ROUND(C28,-3)</f>
        <v>0</v>
      </c>
      <c r="D67" s="48">
        <f t="shared" si="32"/>
        <v>0</v>
      </c>
      <c r="E67" s="48">
        <f t="shared" si="32"/>
        <v>0</v>
      </c>
      <c r="F67" s="48">
        <f t="shared" si="32"/>
        <v>0</v>
      </c>
      <c r="G67" s="87">
        <f t="shared" si="32"/>
        <v>28000</v>
      </c>
      <c r="H67" s="55">
        <f t="shared" si="32"/>
        <v>28000</v>
      </c>
      <c r="I67" s="55">
        <f t="shared" si="32"/>
        <v>5000</v>
      </c>
      <c r="J67" s="55">
        <f t="shared" si="32"/>
        <v>28000</v>
      </c>
      <c r="K67" s="57">
        <f t="shared" si="32"/>
        <v>5000</v>
      </c>
    </row>
    <row r="68" spans="2:11" x14ac:dyDescent="0.25">
      <c r="B68" s="41">
        <f t="shared" si="8"/>
        <v>2042</v>
      </c>
      <c r="C68" s="48">
        <f t="shared" ref="C68:K68" si="33">ROUND(C29,-3)</f>
        <v>0</v>
      </c>
      <c r="D68" s="48">
        <f t="shared" si="33"/>
        <v>0</v>
      </c>
      <c r="E68" s="48">
        <f t="shared" si="33"/>
        <v>0</v>
      </c>
      <c r="F68" s="48">
        <f t="shared" si="33"/>
        <v>0</v>
      </c>
      <c r="G68" s="87">
        <f t="shared" si="33"/>
        <v>28000</v>
      </c>
      <c r="H68" s="55">
        <f t="shared" si="33"/>
        <v>28000</v>
      </c>
      <c r="I68" s="55">
        <f t="shared" si="33"/>
        <v>5000</v>
      </c>
      <c r="J68" s="55">
        <f t="shared" si="33"/>
        <v>28000</v>
      </c>
      <c r="K68" s="57">
        <f t="shared" si="33"/>
        <v>5000</v>
      </c>
    </row>
    <row r="69" spans="2:11" x14ac:dyDescent="0.25">
      <c r="B69" s="41">
        <f t="shared" si="8"/>
        <v>2043</v>
      </c>
      <c r="C69" s="48">
        <f t="shared" ref="C69:K69" si="34">ROUND(C30,-3)</f>
        <v>0</v>
      </c>
      <c r="D69" s="48">
        <f t="shared" si="34"/>
        <v>0</v>
      </c>
      <c r="E69" s="48">
        <f t="shared" si="34"/>
        <v>0</v>
      </c>
      <c r="F69" s="48">
        <f t="shared" si="34"/>
        <v>0</v>
      </c>
      <c r="G69" s="87">
        <f t="shared" si="34"/>
        <v>28000</v>
      </c>
      <c r="H69" s="55">
        <f t="shared" si="34"/>
        <v>28000</v>
      </c>
      <c r="I69" s="55">
        <f t="shared" si="34"/>
        <v>4000</v>
      </c>
      <c r="J69" s="55">
        <f t="shared" si="34"/>
        <v>28000</v>
      </c>
      <c r="K69" s="57">
        <f t="shared" si="34"/>
        <v>5000</v>
      </c>
    </row>
    <row r="70" spans="2:11" x14ac:dyDescent="0.25">
      <c r="B70" s="41">
        <f t="shared" si="8"/>
        <v>2044</v>
      </c>
      <c r="C70" s="48">
        <f t="shared" ref="C70:K70" si="35">ROUND(C31,-3)</f>
        <v>0</v>
      </c>
      <c r="D70" s="48">
        <f t="shared" si="35"/>
        <v>0</v>
      </c>
      <c r="E70" s="48">
        <f t="shared" si="35"/>
        <v>0</v>
      </c>
      <c r="F70" s="48">
        <f t="shared" si="35"/>
        <v>0</v>
      </c>
      <c r="G70" s="87">
        <f t="shared" si="35"/>
        <v>28000</v>
      </c>
      <c r="H70" s="55">
        <f t="shared" si="35"/>
        <v>28000</v>
      </c>
      <c r="I70" s="55">
        <f t="shared" si="35"/>
        <v>4000</v>
      </c>
      <c r="J70" s="55">
        <f t="shared" si="35"/>
        <v>28000</v>
      </c>
      <c r="K70" s="57">
        <f t="shared" si="35"/>
        <v>4000</v>
      </c>
    </row>
    <row r="71" spans="2:11" x14ac:dyDescent="0.25">
      <c r="B71" s="41">
        <f t="shared" si="8"/>
        <v>2045</v>
      </c>
      <c r="C71" s="48">
        <f t="shared" ref="C71:K71" si="36">ROUND(C32,-3)</f>
        <v>0</v>
      </c>
      <c r="D71" s="48">
        <f t="shared" si="36"/>
        <v>0</v>
      </c>
      <c r="E71" s="48">
        <f t="shared" si="36"/>
        <v>0</v>
      </c>
      <c r="F71" s="48">
        <f t="shared" si="36"/>
        <v>0</v>
      </c>
      <c r="G71" s="87">
        <f t="shared" si="36"/>
        <v>31000</v>
      </c>
      <c r="H71" s="55">
        <f t="shared" si="36"/>
        <v>31000</v>
      </c>
      <c r="I71" s="55">
        <f t="shared" si="36"/>
        <v>4000</v>
      </c>
      <c r="J71" s="55">
        <f t="shared" si="36"/>
        <v>31000</v>
      </c>
      <c r="K71" s="57">
        <f t="shared" si="36"/>
        <v>4000</v>
      </c>
    </row>
    <row r="72" spans="2:11" x14ac:dyDescent="0.25">
      <c r="B72" s="41">
        <f t="shared" si="8"/>
        <v>2046</v>
      </c>
      <c r="C72" s="48">
        <f t="shared" ref="C72:K72" si="37">ROUND(C33,-3)</f>
        <v>0</v>
      </c>
      <c r="D72" s="48">
        <f t="shared" si="37"/>
        <v>0</v>
      </c>
      <c r="E72" s="48">
        <f t="shared" si="37"/>
        <v>0</v>
      </c>
      <c r="F72" s="48">
        <f t="shared" si="37"/>
        <v>0</v>
      </c>
      <c r="G72" s="87">
        <f t="shared" si="37"/>
        <v>28000</v>
      </c>
      <c r="H72" s="55">
        <f t="shared" si="37"/>
        <v>28000</v>
      </c>
      <c r="I72" s="55">
        <f t="shared" si="37"/>
        <v>3000</v>
      </c>
      <c r="J72" s="55">
        <f t="shared" si="37"/>
        <v>28000</v>
      </c>
      <c r="K72" s="57">
        <f t="shared" si="37"/>
        <v>4000</v>
      </c>
    </row>
    <row r="73" spans="2:11" x14ac:dyDescent="0.25">
      <c r="B73" s="41">
        <f t="shared" si="8"/>
        <v>2047</v>
      </c>
      <c r="C73" s="48">
        <f t="shared" ref="C73:K73" si="38">ROUND(C34,-3)</f>
        <v>0</v>
      </c>
      <c r="D73" s="48">
        <f t="shared" si="38"/>
        <v>0</v>
      </c>
      <c r="E73" s="48">
        <f t="shared" si="38"/>
        <v>0</v>
      </c>
      <c r="F73" s="48">
        <f t="shared" si="38"/>
        <v>0</v>
      </c>
      <c r="G73" s="87">
        <f t="shared" si="38"/>
        <v>28000</v>
      </c>
      <c r="H73" s="55">
        <f t="shared" si="38"/>
        <v>28000</v>
      </c>
      <c r="I73" s="55">
        <f t="shared" si="38"/>
        <v>3000</v>
      </c>
      <c r="J73" s="55">
        <f t="shared" si="38"/>
        <v>28000</v>
      </c>
      <c r="K73" s="57">
        <f t="shared" si="38"/>
        <v>3000</v>
      </c>
    </row>
    <row r="74" spans="2:11" x14ac:dyDescent="0.25">
      <c r="B74" s="41">
        <f t="shared" si="8"/>
        <v>2048</v>
      </c>
      <c r="C74" s="48">
        <f t="shared" ref="C74:K74" si="39">ROUND(C35,-3)</f>
        <v>0</v>
      </c>
      <c r="D74" s="48">
        <f t="shared" si="39"/>
        <v>0</v>
      </c>
      <c r="E74" s="48">
        <f t="shared" si="39"/>
        <v>0</v>
      </c>
      <c r="F74" s="48">
        <f t="shared" si="39"/>
        <v>0</v>
      </c>
      <c r="G74" s="87">
        <f t="shared" si="39"/>
        <v>28000</v>
      </c>
      <c r="H74" s="55">
        <f t="shared" si="39"/>
        <v>28000</v>
      </c>
      <c r="I74" s="55">
        <f t="shared" si="39"/>
        <v>3000</v>
      </c>
      <c r="J74" s="55">
        <f t="shared" si="39"/>
        <v>28000</v>
      </c>
      <c r="K74" s="57">
        <f t="shared" si="39"/>
        <v>3000</v>
      </c>
    </row>
    <row r="75" spans="2:11" ht="15.75" thickBot="1" x14ac:dyDescent="0.3">
      <c r="B75" s="41">
        <f t="shared" si="8"/>
        <v>2049</v>
      </c>
      <c r="C75" s="48">
        <f t="shared" ref="C75:K75" si="40">ROUND(C36,-3)</f>
        <v>0</v>
      </c>
      <c r="D75" s="48">
        <f t="shared" si="40"/>
        <v>0</v>
      </c>
      <c r="E75" s="48">
        <f t="shared" si="40"/>
        <v>-8863000</v>
      </c>
      <c r="F75" s="48">
        <f t="shared" si="40"/>
        <v>-888000</v>
      </c>
      <c r="G75" s="87">
        <f t="shared" si="40"/>
        <v>28000</v>
      </c>
      <c r="H75" s="55">
        <f t="shared" si="40"/>
        <v>28000</v>
      </c>
      <c r="I75" s="55">
        <f t="shared" si="40"/>
        <v>3000</v>
      </c>
      <c r="J75" s="55">
        <f t="shared" si="40"/>
        <v>-8835000</v>
      </c>
      <c r="K75" s="57">
        <f t="shared" si="40"/>
        <v>-947000</v>
      </c>
    </row>
    <row r="76" spans="2:11" ht="15.75" thickBot="1" x14ac:dyDescent="0.3">
      <c r="B76" s="52" t="s">
        <v>165</v>
      </c>
      <c r="C76" s="58">
        <f t="shared" ref="C76:K76" si="41">ROUND(C37,-3)</f>
        <v>7395000</v>
      </c>
      <c r="D76" s="58">
        <f t="shared" si="41"/>
        <v>12605000</v>
      </c>
      <c r="E76" s="58">
        <f t="shared" si="41"/>
        <v>11137000</v>
      </c>
      <c r="F76" s="58">
        <f t="shared" si="41"/>
        <v>15861000</v>
      </c>
      <c r="G76" s="424">
        <f t="shared" si="41"/>
        <v>857000</v>
      </c>
      <c r="H76" s="62">
        <f>ROUND(H37,-3)</f>
        <v>857000</v>
      </c>
      <c r="I76" s="62">
        <f t="shared" si="41"/>
        <v>271000</v>
      </c>
      <c r="J76" s="62">
        <f t="shared" si="41"/>
        <v>11994000</v>
      </c>
      <c r="K76" s="63">
        <f t="shared" si="41"/>
        <v>17262000</v>
      </c>
    </row>
  </sheetData>
  <sheetProtection password="891C" sheet="1" objects="1" scenarios="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zoomScale="80" zoomScaleNormal="80" workbookViewId="0">
      <selection activeCell="M17" sqref="M17"/>
    </sheetView>
  </sheetViews>
  <sheetFormatPr defaultRowHeight="15" x14ac:dyDescent="0.25"/>
  <cols>
    <col min="1" max="1" width="45.5703125" style="450" customWidth="1"/>
    <col min="2" max="9" width="14.7109375" style="450" customWidth="1"/>
    <col min="10" max="10" width="14.5703125" style="450" customWidth="1"/>
    <col min="11" max="16384" width="9.140625" style="450"/>
  </cols>
  <sheetData>
    <row r="1" spans="1:10" x14ac:dyDescent="0.25">
      <c r="A1" s="638" t="s">
        <v>445</v>
      </c>
      <c r="B1" s="639"/>
      <c r="C1" s="639"/>
      <c r="D1" s="639"/>
      <c r="E1" s="639"/>
      <c r="F1" s="639"/>
      <c r="G1" s="639"/>
      <c r="H1" s="639"/>
      <c r="I1" s="640"/>
    </row>
    <row r="2" spans="1:10" x14ac:dyDescent="0.25">
      <c r="A2" s="364"/>
      <c r="B2" s="304" t="s">
        <v>495</v>
      </c>
      <c r="C2" s="304" t="s">
        <v>496</v>
      </c>
      <c r="D2" s="304" t="s">
        <v>497</v>
      </c>
      <c r="E2" s="304" t="s">
        <v>498</v>
      </c>
      <c r="F2" s="304" t="s">
        <v>499</v>
      </c>
      <c r="G2" s="304" t="s">
        <v>500</v>
      </c>
      <c r="H2" s="304" t="s">
        <v>501</v>
      </c>
      <c r="I2" s="478" t="s">
        <v>0</v>
      </c>
      <c r="J2" s="451"/>
    </row>
    <row r="3" spans="1:10" x14ac:dyDescent="0.25">
      <c r="A3" s="446" t="s">
        <v>1</v>
      </c>
      <c r="B3" s="479"/>
      <c r="C3" s="479"/>
      <c r="D3" s="479">
        <f>'0.25 Mi Zone Seperation'!K3</f>
        <v>1056.3333333333333</v>
      </c>
      <c r="E3" s="479">
        <f>'0.25 Mi Zone Seperation'!M3</f>
        <v>954</v>
      </c>
      <c r="F3" s="479"/>
      <c r="G3" s="479">
        <f>'0.25 Mi Zone Seperation'!Q3</f>
        <v>1540</v>
      </c>
      <c r="H3" s="479">
        <f>'0.25 Mi Zone Seperation'!S3</f>
        <v>477</v>
      </c>
      <c r="I3" s="480">
        <f t="shared" ref="I3:I36" si="0">SUM(B3:H3)</f>
        <v>4027.333333333333</v>
      </c>
    </row>
    <row r="4" spans="1:10" x14ac:dyDescent="0.25">
      <c r="A4" s="446" t="s">
        <v>2</v>
      </c>
      <c r="B4" s="479"/>
      <c r="C4" s="479"/>
      <c r="D4" s="479">
        <f>'0.25 Mi Zone Seperation'!K4</f>
        <v>39.084333333333333</v>
      </c>
      <c r="E4" s="479">
        <f>'0.25 Mi Zone Seperation'!M4</f>
        <v>19.080000000000002</v>
      </c>
      <c r="F4" s="479"/>
      <c r="G4" s="479">
        <f>'0.25 Mi Zone Seperation'!Q4</f>
        <v>35.42</v>
      </c>
      <c r="H4" s="479">
        <f>'0.25 Mi Zone Seperation'!S4</f>
        <v>9.5400000000000009</v>
      </c>
      <c r="I4" s="480">
        <f t="shared" si="0"/>
        <v>103.12433333333334</v>
      </c>
    </row>
    <row r="5" spans="1:10" x14ac:dyDescent="0.25">
      <c r="A5" s="446" t="s">
        <v>3</v>
      </c>
      <c r="B5" s="479"/>
      <c r="C5" s="479"/>
      <c r="D5" s="479">
        <f>'0.25 Mi Zone Seperation'!K5</f>
        <v>19.013999999999996</v>
      </c>
      <c r="E5" s="479">
        <f>'0.25 Mi Zone Seperation'!M5</f>
        <v>18.126000000000001</v>
      </c>
      <c r="F5" s="479"/>
      <c r="G5" s="479">
        <f>'0.25 Mi Zone Seperation'!Q5</f>
        <v>120.12</v>
      </c>
      <c r="H5" s="479">
        <f>'0.25 Mi Zone Seperation'!S5</f>
        <v>9.0630000000000006</v>
      </c>
      <c r="I5" s="480">
        <f t="shared" si="0"/>
        <v>166.32299999999998</v>
      </c>
    </row>
    <row r="6" spans="1:10" x14ac:dyDescent="0.25">
      <c r="A6" s="446" t="s">
        <v>4</v>
      </c>
      <c r="B6" s="479"/>
      <c r="C6" s="479"/>
      <c r="D6" s="479">
        <f>'0.25 Mi Zone Seperation'!K6</f>
        <v>39.084333333333333</v>
      </c>
      <c r="E6" s="479">
        <f>'0.25 Mi Zone Seperation'!M6</f>
        <v>17.171999999999997</v>
      </c>
      <c r="F6" s="479"/>
      <c r="G6" s="479">
        <f>'0.25 Mi Zone Seperation'!Q6</f>
        <v>141.68</v>
      </c>
      <c r="H6" s="479">
        <f>'0.25 Mi Zone Seperation'!S6</f>
        <v>8.5859999999999985</v>
      </c>
      <c r="I6" s="480">
        <f t="shared" si="0"/>
        <v>206.52233333333334</v>
      </c>
    </row>
    <row r="7" spans="1:10" x14ac:dyDescent="0.25">
      <c r="A7" s="446" t="s">
        <v>5</v>
      </c>
      <c r="B7" s="479"/>
      <c r="C7" s="479"/>
      <c r="D7" s="479">
        <f>'0.25 Mi Zone Seperation'!K7</f>
        <v>34.858999999999995</v>
      </c>
      <c r="E7" s="479">
        <f>'0.25 Mi Zone Seperation'!M7</f>
        <v>8.5859999999999985</v>
      </c>
      <c r="F7" s="479"/>
      <c r="G7" s="479">
        <f>'0.25 Mi Zone Seperation'!Q7</f>
        <v>64.680000000000007</v>
      </c>
      <c r="H7" s="479">
        <f>'0.25 Mi Zone Seperation'!S7</f>
        <v>4.2929999999999993</v>
      </c>
      <c r="I7" s="480">
        <f t="shared" si="0"/>
        <v>112.41800000000001</v>
      </c>
    </row>
    <row r="8" spans="1:10" x14ac:dyDescent="0.25">
      <c r="A8" s="446" t="s">
        <v>6</v>
      </c>
      <c r="B8" s="479"/>
      <c r="C8" s="479"/>
      <c r="D8" s="479">
        <f>'0.25 Mi Zone Seperation'!K8</f>
        <v>315.84366666666665</v>
      </c>
      <c r="E8" s="479">
        <f>'0.25 Mi Zone Seperation'!M8</f>
        <v>114.47999999999999</v>
      </c>
      <c r="F8" s="479"/>
      <c r="G8" s="479">
        <f>'0.25 Mi Zone Seperation'!Q8</f>
        <v>255.64000000000001</v>
      </c>
      <c r="H8" s="479">
        <f>'0.25 Mi Zone Seperation'!S8</f>
        <v>57.239999999999995</v>
      </c>
      <c r="I8" s="480">
        <f t="shared" si="0"/>
        <v>743.20366666666666</v>
      </c>
    </row>
    <row r="9" spans="1:10" x14ac:dyDescent="0.25">
      <c r="A9" s="446" t="s">
        <v>7</v>
      </c>
      <c r="B9" s="479"/>
      <c r="C9" s="479"/>
      <c r="D9" s="479">
        <f>'0.25 Mi Zone Seperation'!K9</f>
        <v>101.40799999999999</v>
      </c>
      <c r="E9" s="479">
        <f>'0.25 Mi Zone Seperation'!M9</f>
        <v>99.215999999999994</v>
      </c>
      <c r="F9" s="479"/>
      <c r="G9" s="479">
        <f>'0.25 Mi Zone Seperation'!Q9</f>
        <v>167.86</v>
      </c>
      <c r="H9" s="479">
        <f>'0.25 Mi Zone Seperation'!S9</f>
        <v>49.607999999999997</v>
      </c>
      <c r="I9" s="480">
        <f t="shared" si="0"/>
        <v>418.09199999999998</v>
      </c>
    </row>
    <row r="10" spans="1:10" x14ac:dyDescent="0.25">
      <c r="A10" s="446" t="s">
        <v>8</v>
      </c>
      <c r="B10" s="479"/>
      <c r="C10" s="479"/>
      <c r="D10" s="479">
        <f>'0.25 Mi Zone Seperation'!K10</f>
        <v>48.591333333333331</v>
      </c>
      <c r="E10" s="479">
        <f>'0.25 Mi Zone Seperation'!M10</f>
        <v>54.378</v>
      </c>
      <c r="F10" s="479"/>
      <c r="G10" s="479">
        <f>'0.25 Mi Zone Seperation'!Q10</f>
        <v>73.92</v>
      </c>
      <c r="H10" s="479">
        <f>'0.25 Mi Zone Seperation'!S10</f>
        <v>27.189</v>
      </c>
      <c r="I10" s="480">
        <f t="shared" si="0"/>
        <v>204.07833333333335</v>
      </c>
    </row>
    <row r="11" spans="1:10" x14ac:dyDescent="0.25">
      <c r="A11" s="446" t="s">
        <v>9</v>
      </c>
      <c r="B11" s="479"/>
      <c r="C11" s="479"/>
      <c r="D11" s="479">
        <f>'0.25 Mi Zone Seperation'!K11</f>
        <v>69.717999999999989</v>
      </c>
      <c r="E11" s="479">
        <f>'0.25 Mi Zone Seperation'!M11</f>
        <v>98.262</v>
      </c>
      <c r="F11" s="479"/>
      <c r="G11" s="479">
        <f>'0.25 Mi Zone Seperation'!Q11</f>
        <v>118.58</v>
      </c>
      <c r="H11" s="479">
        <f>'0.25 Mi Zone Seperation'!S11</f>
        <v>49.131</v>
      </c>
      <c r="I11" s="480">
        <f t="shared" si="0"/>
        <v>335.69100000000003</v>
      </c>
    </row>
    <row r="12" spans="1:10" x14ac:dyDescent="0.25">
      <c r="A12" s="446" t="s">
        <v>10</v>
      </c>
      <c r="B12" s="479"/>
      <c r="C12" s="479"/>
      <c r="D12" s="479">
        <f>'0.25 Mi Zone Seperation'!K12</f>
        <v>28.521000000000001</v>
      </c>
      <c r="E12" s="479">
        <f>'0.25 Mi Zone Seperation'!M12</f>
        <v>78.228000000000009</v>
      </c>
      <c r="F12" s="479"/>
      <c r="G12" s="479">
        <f>'0.25 Mi Zone Seperation'!Q12</f>
        <v>55.44</v>
      </c>
      <c r="H12" s="479">
        <f>'0.25 Mi Zone Seperation'!S12</f>
        <v>39.114000000000004</v>
      </c>
      <c r="I12" s="480">
        <f t="shared" si="0"/>
        <v>201.30300000000003</v>
      </c>
    </row>
    <row r="13" spans="1:10" x14ac:dyDescent="0.25">
      <c r="A13" s="446" t="s">
        <v>11</v>
      </c>
      <c r="B13" s="479"/>
      <c r="C13" s="479"/>
      <c r="D13" s="479">
        <f>'0.25 Mi Zone Seperation'!K13</f>
        <v>32.746333333333332</v>
      </c>
      <c r="E13" s="479">
        <f>'0.25 Mi Zone Seperation'!M13</f>
        <v>61.056000000000004</v>
      </c>
      <c r="F13" s="479"/>
      <c r="G13" s="479">
        <f>'0.25 Mi Zone Seperation'!Q13</f>
        <v>72.38</v>
      </c>
      <c r="H13" s="479">
        <f>'0.25 Mi Zone Seperation'!S13</f>
        <v>30.528000000000002</v>
      </c>
      <c r="I13" s="480">
        <f t="shared" si="0"/>
        <v>196.71033333333332</v>
      </c>
    </row>
    <row r="14" spans="1:10" x14ac:dyDescent="0.25">
      <c r="A14" s="446" t="s">
        <v>12</v>
      </c>
      <c r="B14" s="479"/>
      <c r="C14" s="479"/>
      <c r="D14" s="479">
        <f>'0.25 Mi Zone Seperation'!K14</f>
        <v>68.661666666666662</v>
      </c>
      <c r="E14" s="479">
        <f>'0.25 Mi Zone Seperation'!M14</f>
        <v>51.515999999999998</v>
      </c>
      <c r="F14" s="479"/>
      <c r="G14" s="479">
        <f>'0.25 Mi Zone Seperation'!Q14</f>
        <v>121.66</v>
      </c>
      <c r="H14" s="479">
        <f>'0.25 Mi Zone Seperation'!S14</f>
        <v>25.757999999999999</v>
      </c>
      <c r="I14" s="480">
        <f t="shared" si="0"/>
        <v>267.59566666666666</v>
      </c>
    </row>
    <row r="15" spans="1:10" x14ac:dyDescent="0.25">
      <c r="A15" s="446" t="s">
        <v>13</v>
      </c>
      <c r="B15" s="479"/>
      <c r="C15" s="479"/>
      <c r="D15" s="479">
        <f>'0.25 Mi Zone Seperation'!K15</f>
        <v>63.379999999999995</v>
      </c>
      <c r="E15" s="479">
        <f>'0.25 Mi Zone Seperation'!M15</f>
        <v>47.7</v>
      </c>
      <c r="F15" s="479"/>
      <c r="G15" s="479">
        <f>'0.25 Mi Zone Seperation'!Q15</f>
        <v>107.80000000000001</v>
      </c>
      <c r="H15" s="479">
        <f>'0.25 Mi Zone Seperation'!S15</f>
        <v>23.85</v>
      </c>
      <c r="I15" s="480">
        <f t="shared" si="0"/>
        <v>242.73</v>
      </c>
    </row>
    <row r="16" spans="1:10" x14ac:dyDescent="0.25">
      <c r="A16" s="446" t="s">
        <v>14</v>
      </c>
      <c r="B16" s="479"/>
      <c r="C16" s="479"/>
      <c r="D16" s="479">
        <f>'0.25 Mi Zone Seperation'!K16</f>
        <v>73.943333333333328</v>
      </c>
      <c r="E16" s="479">
        <f>'0.25 Mi Zone Seperation'!M16</f>
        <v>57.239999999999995</v>
      </c>
      <c r="F16" s="479"/>
      <c r="G16" s="479">
        <f>'0.25 Mi Zone Seperation'!Q16</f>
        <v>98.56</v>
      </c>
      <c r="H16" s="479">
        <f>'0.25 Mi Zone Seperation'!S16</f>
        <v>28.619999999999997</v>
      </c>
      <c r="I16" s="480">
        <f t="shared" si="0"/>
        <v>258.36333333333334</v>
      </c>
    </row>
    <row r="17" spans="1:9" x14ac:dyDescent="0.25">
      <c r="A17" s="446" t="s">
        <v>15</v>
      </c>
      <c r="B17" s="479"/>
      <c r="C17" s="479"/>
      <c r="D17" s="479">
        <f>'0.25 Mi Zone Seperation'!K17</f>
        <v>38.027999999999992</v>
      </c>
      <c r="E17" s="479">
        <f>'0.25 Mi Zone Seperation'!M17</f>
        <v>125.92800000000001</v>
      </c>
      <c r="F17" s="479"/>
      <c r="G17" s="479">
        <f>'0.25 Mi Zone Seperation'!Q17</f>
        <v>18.48</v>
      </c>
      <c r="H17" s="479">
        <f>'0.25 Mi Zone Seperation'!S17</f>
        <v>62.964000000000006</v>
      </c>
      <c r="I17" s="480">
        <f t="shared" si="0"/>
        <v>245.4</v>
      </c>
    </row>
    <row r="18" spans="1:9" x14ac:dyDescent="0.25">
      <c r="A18" s="446" t="s">
        <v>16</v>
      </c>
      <c r="B18" s="479"/>
      <c r="C18" s="479"/>
      <c r="D18" s="479">
        <f>'0.25 Mi Zone Seperation'!K18</f>
        <v>21.126666666666665</v>
      </c>
      <c r="E18" s="479">
        <f>'0.25 Mi Zone Seperation'!M18</f>
        <v>32.436</v>
      </c>
      <c r="F18" s="479"/>
      <c r="G18" s="479">
        <f>'0.25 Mi Zone Seperation'!Q18</f>
        <v>41.58</v>
      </c>
      <c r="H18" s="479">
        <f>'0.25 Mi Zone Seperation'!S18</f>
        <v>16.218</v>
      </c>
      <c r="I18" s="480">
        <f t="shared" si="0"/>
        <v>111.36066666666666</v>
      </c>
    </row>
    <row r="19" spans="1:9" x14ac:dyDescent="0.25">
      <c r="A19" s="446" t="s">
        <v>17</v>
      </c>
      <c r="B19" s="479"/>
      <c r="C19" s="479"/>
      <c r="D19" s="479">
        <f>'0.25 Mi Zone Seperation'!K19</f>
        <v>25.351999999999997</v>
      </c>
      <c r="E19" s="479">
        <f>'0.25 Mi Zone Seperation'!M19</f>
        <v>32.436</v>
      </c>
      <c r="F19" s="479"/>
      <c r="G19" s="479">
        <f>'0.25 Mi Zone Seperation'!Q19</f>
        <v>32.340000000000003</v>
      </c>
      <c r="H19" s="479">
        <f>'0.25 Mi Zone Seperation'!S19</f>
        <v>16.218</v>
      </c>
      <c r="I19" s="480">
        <f t="shared" si="0"/>
        <v>106.346</v>
      </c>
    </row>
    <row r="20" spans="1:9" x14ac:dyDescent="0.25">
      <c r="A20" s="446" t="s">
        <v>18</v>
      </c>
      <c r="B20" s="479"/>
      <c r="C20" s="479"/>
      <c r="D20" s="479">
        <f>'0.25 Mi Zone Seperation'!K20</f>
        <v>16.901333333333334</v>
      </c>
      <c r="E20" s="479">
        <f>'0.25 Mi Zone Seperation'!M20</f>
        <v>20.034000000000002</v>
      </c>
      <c r="F20" s="479"/>
      <c r="G20" s="479">
        <f>'0.25 Mi Zone Seperation'!Q20</f>
        <v>7.7</v>
      </c>
      <c r="H20" s="479">
        <f>'0.25 Mi Zone Seperation'!S20</f>
        <v>10.017000000000001</v>
      </c>
      <c r="I20" s="480">
        <f t="shared" si="0"/>
        <v>54.652333333333338</v>
      </c>
    </row>
    <row r="21" spans="1:9" x14ac:dyDescent="0.25">
      <c r="A21" s="446" t="s">
        <v>19</v>
      </c>
      <c r="B21" s="479"/>
      <c r="C21" s="479"/>
      <c r="D21" s="479">
        <f>'0.25 Mi Zone Seperation'!K21</f>
        <v>21.126666666666665</v>
      </c>
      <c r="E21" s="479">
        <f>'0.25 Mi Zone Seperation'!M21</f>
        <v>15.264000000000001</v>
      </c>
      <c r="F21" s="479"/>
      <c r="G21" s="479">
        <f>'0.25 Mi Zone Seperation'!Q21</f>
        <v>7.7</v>
      </c>
      <c r="H21" s="479">
        <f>'0.25 Mi Zone Seperation'!S21</f>
        <v>7.6320000000000006</v>
      </c>
      <c r="I21" s="480">
        <f t="shared" si="0"/>
        <v>51.722666666666669</v>
      </c>
    </row>
    <row r="22" spans="1:9" x14ac:dyDescent="0.25">
      <c r="A22" s="446" t="s">
        <v>29</v>
      </c>
      <c r="B22" s="479"/>
      <c r="C22" s="479"/>
      <c r="D22" s="479">
        <f>'0.25 Mi Zone Seperation'!K22</f>
        <v>925.34800000000007</v>
      </c>
      <c r="E22" s="479">
        <f>'0.25 Mi Zone Seperation'!M22</f>
        <v>888.17400000000009</v>
      </c>
      <c r="F22" s="479"/>
      <c r="G22" s="479">
        <f>'0.25 Mi Zone Seperation'!Q22</f>
        <v>1179.6399999999999</v>
      </c>
      <c r="H22" s="479">
        <f>'0.25 Mi Zone Seperation'!S22</f>
        <v>444.08700000000005</v>
      </c>
      <c r="I22" s="480">
        <f t="shared" si="0"/>
        <v>3437.2490000000003</v>
      </c>
    </row>
    <row r="23" spans="1:9" x14ac:dyDescent="0.25">
      <c r="A23" s="446" t="s">
        <v>21</v>
      </c>
      <c r="B23" s="479"/>
      <c r="C23" s="479"/>
      <c r="D23" s="479">
        <f>'0.25 Mi Zone Seperation'!K23</f>
        <v>533.33333333333326</v>
      </c>
      <c r="E23" s="479">
        <f>'0.25 Mi Zone Seperation'!M23</f>
        <v>562</v>
      </c>
      <c r="F23" s="479"/>
      <c r="G23" s="479">
        <f>'0.25 Mi Zone Seperation'!Q23</f>
        <v>668</v>
      </c>
      <c r="H23" s="479">
        <f>'0.25 Mi Zone Seperation'!S23</f>
        <v>281</v>
      </c>
      <c r="I23" s="480">
        <f t="shared" si="0"/>
        <v>2044.3333333333333</v>
      </c>
    </row>
    <row r="24" spans="1:9" x14ac:dyDescent="0.25">
      <c r="A24" s="446" t="s">
        <v>22</v>
      </c>
      <c r="B24" s="479"/>
      <c r="C24" s="479"/>
      <c r="D24" s="479">
        <f>'0.25 Mi Zone Seperation'!K24</f>
        <v>523</v>
      </c>
      <c r="E24" s="479">
        <f>'0.25 Mi Zone Seperation'!M24</f>
        <v>392</v>
      </c>
      <c r="F24" s="479"/>
      <c r="G24" s="479">
        <f>'0.25 Mi Zone Seperation'!Q24</f>
        <v>872</v>
      </c>
      <c r="H24" s="479">
        <f>'0.25 Mi Zone Seperation'!S24</f>
        <v>196</v>
      </c>
      <c r="I24" s="480">
        <f t="shared" si="0"/>
        <v>1983</v>
      </c>
    </row>
    <row r="25" spans="1:9" x14ac:dyDescent="0.25">
      <c r="A25" s="446" t="s">
        <v>507</v>
      </c>
      <c r="B25" s="479"/>
      <c r="C25" s="479"/>
      <c r="D25" s="479">
        <f>'0.25 Mi Zone Seperation'!K25</f>
        <v>805.66666666666663</v>
      </c>
      <c r="E25" s="479">
        <f>'0.25 Mi Zone Seperation'!M25</f>
        <v>724.5</v>
      </c>
      <c r="F25" s="479"/>
      <c r="G25" s="479">
        <f>'0.25 Mi Zone Seperation'!Q25</f>
        <v>1000</v>
      </c>
      <c r="H25" s="479">
        <f>'0.25 Mi Zone Seperation'!S25</f>
        <v>362.25</v>
      </c>
      <c r="I25" s="480">
        <f t="shared" si="0"/>
        <v>2892.4166666666665</v>
      </c>
    </row>
    <row r="26" spans="1:9" x14ac:dyDescent="0.25">
      <c r="A26" s="446" t="s">
        <v>30</v>
      </c>
      <c r="B26" s="479"/>
      <c r="C26" s="479"/>
      <c r="D26" s="479">
        <f>'0.25 Mi Zone Seperation'!K26</f>
        <v>250.66666666666666</v>
      </c>
      <c r="E26" s="479">
        <f>'0.25 Mi Zone Seperation'!M26</f>
        <v>376</v>
      </c>
      <c r="F26" s="479"/>
      <c r="G26" s="479">
        <f>'0.25 Mi Zone Seperation'!Q26</f>
        <v>752</v>
      </c>
      <c r="H26" s="479">
        <f>'0.25 Mi Zone Seperation'!S26</f>
        <v>188</v>
      </c>
      <c r="I26" s="480">
        <f t="shared" si="0"/>
        <v>1566.6666666666665</v>
      </c>
    </row>
    <row r="27" spans="1:9" x14ac:dyDescent="0.25">
      <c r="A27" s="446" t="s">
        <v>24</v>
      </c>
      <c r="B27" s="479"/>
      <c r="C27" s="479"/>
      <c r="D27" s="479">
        <f>'0.25 Mi Zone Seperation'!K27</f>
        <v>12</v>
      </c>
      <c r="E27" s="479">
        <f>'0.25 Mi Zone Seperation'!M27</f>
        <v>34</v>
      </c>
      <c r="F27" s="479"/>
      <c r="G27" s="479">
        <f>'0.25 Mi Zone Seperation'!Q27</f>
        <v>101</v>
      </c>
      <c r="H27" s="479">
        <f>'0.25 Mi Zone Seperation'!S27</f>
        <v>17</v>
      </c>
      <c r="I27" s="480">
        <f t="shared" si="0"/>
        <v>164</v>
      </c>
    </row>
    <row r="28" spans="1:9" x14ac:dyDescent="0.25">
      <c r="A28" s="446" t="s">
        <v>508</v>
      </c>
      <c r="B28" s="479"/>
      <c r="C28" s="479"/>
      <c r="D28" s="479">
        <f>'0.25 Mi Zone Seperation'!K28</f>
        <v>652</v>
      </c>
      <c r="E28" s="479">
        <f>'0.25 Mi Zone Seperation'!M28</f>
        <v>558.5</v>
      </c>
      <c r="F28" s="479"/>
      <c r="G28" s="479">
        <f>'0.25 Mi Zone Seperation'!Q28</f>
        <v>678</v>
      </c>
      <c r="H28" s="479">
        <f>'0.25 Mi Zone Seperation'!S28</f>
        <v>279.25</v>
      </c>
      <c r="I28" s="480">
        <f t="shared" si="0"/>
        <v>2167.75</v>
      </c>
    </row>
    <row r="29" spans="1:9" x14ac:dyDescent="0.25">
      <c r="A29" s="446" t="s">
        <v>25</v>
      </c>
      <c r="B29" s="479"/>
      <c r="C29" s="479"/>
      <c r="D29" s="479">
        <f>'0.25 Mi Zone Seperation'!K29</f>
        <v>0.52</v>
      </c>
      <c r="E29" s="479">
        <f>'0.25 Mi Zone Seperation'!M29</f>
        <v>0.82</v>
      </c>
      <c r="F29" s="479"/>
      <c r="G29" s="479">
        <f>'0.25 Mi Zone Seperation'!Q29</f>
        <v>2.27</v>
      </c>
      <c r="H29" s="479">
        <f>'0.25 Mi Zone Seperation'!S29</f>
        <v>0.41</v>
      </c>
      <c r="I29" s="480">
        <f t="shared" si="0"/>
        <v>4.0199999999999996</v>
      </c>
    </row>
    <row r="30" spans="1:9" x14ac:dyDescent="0.25">
      <c r="A30" s="446" t="s">
        <v>509</v>
      </c>
      <c r="B30" s="479"/>
      <c r="C30" s="479"/>
      <c r="D30" s="479">
        <f>'0.25 Mi Zone Seperation'!K30</f>
        <v>101</v>
      </c>
      <c r="E30" s="479">
        <f>'0.25 Mi Zone Seperation'!M30</f>
        <v>90.5</v>
      </c>
      <c r="F30" s="479"/>
      <c r="G30" s="479">
        <f>'0.25 Mi Zone Seperation'!Q30</f>
        <v>324</v>
      </c>
      <c r="H30" s="479">
        <f>'0.25 Mi Zone Seperation'!S30</f>
        <v>45.25</v>
      </c>
      <c r="I30" s="481">
        <f t="shared" si="0"/>
        <v>560.75</v>
      </c>
    </row>
    <row r="31" spans="1:9" x14ac:dyDescent="0.25">
      <c r="A31" s="446" t="s">
        <v>26</v>
      </c>
      <c r="B31" s="479"/>
      <c r="C31" s="479"/>
      <c r="D31" s="479">
        <f>'0.25 Mi Zone Seperation'!K31</f>
        <v>0.95333333333333325</v>
      </c>
      <c r="E31" s="479">
        <f>'0.25 Mi Zone Seperation'!M31</f>
        <v>1.345</v>
      </c>
      <c r="F31" s="479"/>
      <c r="G31" s="479">
        <f>'0.25 Mi Zone Seperation'!Q31</f>
        <v>3.15</v>
      </c>
      <c r="H31" s="479">
        <f>'0.25 Mi Zone Seperation'!S31</f>
        <v>0.67249999999999999</v>
      </c>
      <c r="I31" s="480">
        <f t="shared" si="0"/>
        <v>6.1208333333333336</v>
      </c>
    </row>
    <row r="32" spans="1:9" x14ac:dyDescent="0.25">
      <c r="A32" s="446" t="s">
        <v>23</v>
      </c>
      <c r="B32" s="479"/>
      <c r="C32" s="479"/>
      <c r="D32" s="479">
        <f>'0.25 Mi Zone Seperation'!K32</f>
        <v>733.66666666666663</v>
      </c>
      <c r="E32" s="479">
        <f>'0.25 Mi Zone Seperation'!M32</f>
        <v>626.5</v>
      </c>
      <c r="F32" s="479"/>
      <c r="G32" s="479">
        <f>'0.25 Mi Zone Seperation'!Q32</f>
        <v>755</v>
      </c>
      <c r="H32" s="479">
        <f>'0.25 Mi Zone Seperation'!S32</f>
        <v>313.25</v>
      </c>
      <c r="I32" s="480">
        <f t="shared" si="0"/>
        <v>2428.4166666666665</v>
      </c>
    </row>
    <row r="33" spans="1:10" x14ac:dyDescent="0.25">
      <c r="A33" s="446" t="s">
        <v>27</v>
      </c>
      <c r="B33" s="479"/>
      <c r="C33" s="479"/>
      <c r="D33" s="479">
        <f>'0.25 Mi Zone Seperation'!K33</f>
        <v>652</v>
      </c>
      <c r="E33" s="479">
        <f>'0.25 Mi Zone Seperation'!M33</f>
        <v>558.5</v>
      </c>
      <c r="F33" s="479"/>
      <c r="G33" s="479">
        <f>'0.25 Mi Zone Seperation'!Q33</f>
        <v>678</v>
      </c>
      <c r="H33" s="479">
        <f>'0.25 Mi Zone Seperation'!S33</f>
        <v>279.25</v>
      </c>
      <c r="I33" s="480">
        <f t="shared" si="0"/>
        <v>2167.75</v>
      </c>
    </row>
    <row r="34" spans="1:10" x14ac:dyDescent="0.25">
      <c r="A34" s="446" t="s">
        <v>28</v>
      </c>
      <c r="B34" s="479"/>
      <c r="C34" s="479"/>
      <c r="D34" s="479">
        <f>'0.25 Mi Zone Seperation'!K34</f>
        <v>81.666666666666657</v>
      </c>
      <c r="E34" s="479">
        <f>'0.25 Mi Zone Seperation'!M34</f>
        <v>68</v>
      </c>
      <c r="F34" s="479"/>
      <c r="G34" s="479">
        <f>'0.25 Mi Zone Seperation'!Q34</f>
        <v>77</v>
      </c>
      <c r="H34" s="479">
        <f>'0.25 Mi Zone Seperation'!S34</f>
        <v>34</v>
      </c>
      <c r="I34" s="480">
        <f t="shared" si="0"/>
        <v>260.66666666666663</v>
      </c>
    </row>
    <row r="35" spans="1:10" x14ac:dyDescent="0.25">
      <c r="A35" s="482" t="s">
        <v>670</v>
      </c>
      <c r="B35" s="483"/>
      <c r="C35" s="483"/>
      <c r="D35" s="483">
        <f>'0.25 Mi Zone Seperation'!K35</f>
        <v>188300</v>
      </c>
      <c r="E35" s="483">
        <f>'0.25 Mi Zone Seperation'!M35</f>
        <v>248600</v>
      </c>
      <c r="F35" s="483"/>
      <c r="G35" s="483">
        <f>'0.25 Mi Zone Seperation'!Q35</f>
        <v>74600</v>
      </c>
      <c r="H35" s="483">
        <f>'0.25 Mi Zone Seperation'!S35</f>
        <v>248600</v>
      </c>
      <c r="I35" s="484">
        <f>ROUND(((B35*$B$32)+(C35*$C$32)+(D35*$D$32)+(E35*$E$32)+(F35*$F$32)+(G35*$G$32)+(H35*$H$32))/$I$32,3)</f>
        <v>176285.351</v>
      </c>
      <c r="J35" s="485"/>
    </row>
    <row r="36" spans="1:10" x14ac:dyDescent="0.25">
      <c r="A36" s="446" t="s">
        <v>46</v>
      </c>
      <c r="B36" s="479"/>
      <c r="C36" s="479"/>
      <c r="D36" s="479">
        <f>'0.25 Mi Zone Seperation'!K36</f>
        <v>577.66666666666663</v>
      </c>
      <c r="E36" s="479">
        <f>'0.25 Mi Zone Seperation'!M36</f>
        <v>508</v>
      </c>
      <c r="F36" s="479"/>
      <c r="G36" s="479">
        <f>'0.25 Mi Zone Seperation'!Q36</f>
        <v>721</v>
      </c>
      <c r="H36" s="479">
        <f>'0.25 Mi Zone Seperation'!S36</f>
        <v>254</v>
      </c>
      <c r="I36" s="480">
        <f t="shared" si="0"/>
        <v>2060.6666666666665</v>
      </c>
    </row>
    <row r="37" spans="1:10" x14ac:dyDescent="0.25">
      <c r="A37" s="446" t="s">
        <v>424</v>
      </c>
      <c r="B37" s="486"/>
      <c r="C37" s="486"/>
      <c r="D37" s="486"/>
      <c r="E37" s="486"/>
      <c r="F37" s="486"/>
      <c r="G37" s="486"/>
      <c r="H37" s="486"/>
      <c r="I37" s="480"/>
    </row>
    <row r="38" spans="1:10" x14ac:dyDescent="0.25">
      <c r="A38" s="446" t="s">
        <v>425</v>
      </c>
      <c r="B38" s="487"/>
      <c r="C38" s="487"/>
      <c r="D38" s="487">
        <f>'0.25 Mi Zone Seperation'!K38</f>
        <v>0.63</v>
      </c>
      <c r="E38" s="487">
        <f>'0.25 Mi Zone Seperation'!M38</f>
        <v>0.67500000000000004</v>
      </c>
      <c r="F38" s="487"/>
      <c r="G38" s="487">
        <f>'0.25 Mi Zone Seperation'!Q38</f>
        <v>0.81399999999999995</v>
      </c>
      <c r="H38" s="487">
        <f>'0.25 Mi Zone Seperation'!S38</f>
        <v>0.67500000000000004</v>
      </c>
      <c r="I38" s="488">
        <f>ROUND(((B38*$B$36)+(C38*$C$36)+(D38*$D$36)+(E38*$E$36)+(F38*$F$36)+(G38*$G$36)+(H38*$H$36))/$I$36,3)</f>
        <v>0.71099999999999997</v>
      </c>
    </row>
    <row r="39" spans="1:10" x14ac:dyDescent="0.25">
      <c r="A39" s="446" t="s">
        <v>33</v>
      </c>
      <c r="B39" s="487"/>
      <c r="C39" s="487"/>
      <c r="D39" s="487">
        <f>'0.25 Mi Zone Seperation'!K39</f>
        <v>0.55800000000000005</v>
      </c>
      <c r="E39" s="487">
        <f>'0.25 Mi Zone Seperation'!M39</f>
        <v>0.57499999999999996</v>
      </c>
      <c r="F39" s="487"/>
      <c r="G39" s="487">
        <f>'0.25 Mi Zone Seperation'!Q39</f>
        <v>0.76300000000000001</v>
      </c>
      <c r="H39" s="487">
        <f>'0.25 Mi Zone Seperation'!S39</f>
        <v>0.57499999999999996</v>
      </c>
      <c r="I39" s="488">
        <f t="shared" ref="I39:I60" si="1">ROUND(((B39*$B$36)+(C39*$C$36)+(D39*$D$36)+(E39*$E$36)+(F39*$F$36)+(G39*$G$36)+(H39*$H$36))/$I$36,3)</f>
        <v>0.63600000000000001</v>
      </c>
    </row>
    <row r="40" spans="1:10" x14ac:dyDescent="0.25">
      <c r="A40" s="446" t="s">
        <v>426</v>
      </c>
      <c r="B40" s="487"/>
      <c r="C40" s="487"/>
      <c r="D40" s="487">
        <f>'0.25 Mi Zone Seperation'!K40</f>
        <v>7.1999999999999995E-2</v>
      </c>
      <c r="E40" s="487">
        <f>'0.25 Mi Zone Seperation'!M40</f>
        <v>0.1</v>
      </c>
      <c r="F40" s="487"/>
      <c r="G40" s="487">
        <f>'0.25 Mi Zone Seperation'!Q40</f>
        <v>5.0999999999999997E-2</v>
      </c>
      <c r="H40" s="487">
        <f>'0.25 Mi Zone Seperation'!S40</f>
        <v>0.1</v>
      </c>
      <c r="I40" s="488">
        <f t="shared" si="1"/>
        <v>7.4999999999999997E-2</v>
      </c>
    </row>
    <row r="41" spans="1:10" x14ac:dyDescent="0.25">
      <c r="A41" s="446" t="s">
        <v>35</v>
      </c>
      <c r="B41" s="487"/>
      <c r="C41" s="487"/>
      <c r="D41" s="487">
        <f>'0.25 Mi Zone Seperation'!K41</f>
        <v>7.1999999999999995E-2</v>
      </c>
      <c r="E41" s="487">
        <f>'0.25 Mi Zone Seperation'!M41</f>
        <v>9.2999999999999999E-2</v>
      </c>
      <c r="F41" s="487"/>
      <c r="G41" s="487">
        <f>'0.25 Mi Zone Seperation'!Q41</f>
        <v>3.5999999999999997E-2</v>
      </c>
      <c r="H41" s="487">
        <f>'0.25 Mi Zone Seperation'!S41</f>
        <v>9.2999999999999999E-2</v>
      </c>
      <c r="I41" s="488">
        <f t="shared" si="1"/>
        <v>6.7000000000000004E-2</v>
      </c>
    </row>
    <row r="42" spans="1:10" x14ac:dyDescent="0.25">
      <c r="A42" s="446" t="s">
        <v>36</v>
      </c>
      <c r="B42" s="487"/>
      <c r="C42" s="487"/>
      <c r="D42" s="487">
        <f>'0.25 Mi Zone Seperation'!K42</f>
        <v>0</v>
      </c>
      <c r="E42" s="487">
        <f>'0.25 Mi Zone Seperation'!M42</f>
        <v>0</v>
      </c>
      <c r="F42" s="487"/>
      <c r="G42" s="487">
        <f>'0.25 Mi Zone Seperation'!Q42</f>
        <v>0</v>
      </c>
      <c r="H42" s="487">
        <f>'0.25 Mi Zone Seperation'!S42</f>
        <v>0</v>
      </c>
      <c r="I42" s="488">
        <f t="shared" si="1"/>
        <v>0</v>
      </c>
    </row>
    <row r="43" spans="1:10" x14ac:dyDescent="0.25">
      <c r="A43" s="446" t="s">
        <v>427</v>
      </c>
      <c r="B43" s="487"/>
      <c r="C43" s="487"/>
      <c r="D43" s="487">
        <f>'0.25 Mi Zone Seperation'!K43</f>
        <v>0</v>
      </c>
      <c r="E43" s="487">
        <f>'0.25 Mi Zone Seperation'!M43</f>
        <v>8.0000000000000002E-3</v>
      </c>
      <c r="F43" s="487"/>
      <c r="G43" s="487">
        <f>'0.25 Mi Zone Seperation'!Q43</f>
        <v>1.4999999999999999E-2</v>
      </c>
      <c r="H43" s="487">
        <f>'0.25 Mi Zone Seperation'!S43</f>
        <v>8.0000000000000002E-3</v>
      </c>
      <c r="I43" s="488">
        <f t="shared" si="1"/>
        <v>8.0000000000000002E-3</v>
      </c>
    </row>
    <row r="44" spans="1:10" x14ac:dyDescent="0.25">
      <c r="A44" s="446" t="s">
        <v>428</v>
      </c>
      <c r="B44" s="489"/>
      <c r="C44" s="489"/>
      <c r="D44" s="489">
        <f>'0.25 Mi Zone Seperation'!K44</f>
        <v>1.06</v>
      </c>
      <c r="E44" s="489">
        <f>'0.25 Mi Zone Seperation'!M44</f>
        <v>1.08</v>
      </c>
      <c r="F44" s="489"/>
      <c r="G44" s="489">
        <f>'0.25 Mi Zone Seperation'!Q44</f>
        <v>1.04</v>
      </c>
      <c r="H44" s="489">
        <f>'0.25 Mi Zone Seperation'!S44</f>
        <v>1.08</v>
      </c>
      <c r="I44" s="490">
        <f t="shared" si="1"/>
        <v>1.06</v>
      </c>
    </row>
    <row r="45" spans="1:10" x14ac:dyDescent="0.25">
      <c r="A45" s="446" t="s">
        <v>429</v>
      </c>
      <c r="B45" s="487"/>
      <c r="C45" s="487"/>
      <c r="D45" s="487">
        <f>'0.25 Mi Zone Seperation'!K45</f>
        <v>3.3000000000000002E-2</v>
      </c>
      <c r="E45" s="487">
        <f>'0.25 Mi Zone Seperation'!M45</f>
        <v>6.0999999999999999E-2</v>
      </c>
      <c r="F45" s="487"/>
      <c r="G45" s="487">
        <f>'0.25 Mi Zone Seperation'!Q45</f>
        <v>5.3999999999999999E-2</v>
      </c>
      <c r="H45" s="487">
        <f>'0.25 Mi Zone Seperation'!S45</f>
        <v>6.0999999999999999E-2</v>
      </c>
      <c r="I45" s="488">
        <f t="shared" si="1"/>
        <v>5.0999999999999997E-2</v>
      </c>
    </row>
    <row r="46" spans="1:10" x14ac:dyDescent="0.25">
      <c r="A46" s="446" t="s">
        <v>41</v>
      </c>
      <c r="B46" s="487"/>
      <c r="C46" s="487"/>
      <c r="D46" s="487">
        <f>'0.25 Mi Zone Seperation'!K46</f>
        <v>0.24199999999999999</v>
      </c>
      <c r="E46" s="487">
        <f>'0.25 Mi Zone Seperation'!M46</f>
        <v>0.13300000000000001</v>
      </c>
      <c r="F46" s="487"/>
      <c r="G46" s="487">
        <f>'0.25 Mi Zone Seperation'!Q46</f>
        <v>8.2000000000000003E-2</v>
      </c>
      <c r="H46" s="487">
        <f>'0.25 Mi Zone Seperation'!S46</f>
        <v>0.13300000000000001</v>
      </c>
      <c r="I46" s="488">
        <f t="shared" si="1"/>
        <v>0.14599999999999999</v>
      </c>
    </row>
    <row r="47" spans="1:10" x14ac:dyDescent="0.25">
      <c r="A47" s="446" t="s">
        <v>40</v>
      </c>
      <c r="B47" s="487"/>
      <c r="C47" s="487"/>
      <c r="D47" s="487">
        <f>'0.25 Mi Zone Seperation'!K47</f>
        <v>4.2000000000000003E-2</v>
      </c>
      <c r="E47" s="487">
        <f>'0.25 Mi Zone Seperation'!M47</f>
        <v>7.0999999999999994E-2</v>
      </c>
      <c r="F47" s="487"/>
      <c r="G47" s="487">
        <f>'0.25 Mi Zone Seperation'!Q47</f>
        <v>0</v>
      </c>
      <c r="H47" s="487">
        <f>'0.25 Mi Zone Seperation'!S47</f>
        <v>7.0999999999999994E-2</v>
      </c>
      <c r="I47" s="488">
        <f t="shared" si="1"/>
        <v>3.7999999999999999E-2</v>
      </c>
    </row>
    <row r="48" spans="1:10" x14ac:dyDescent="0.25">
      <c r="A48" s="446" t="s">
        <v>430</v>
      </c>
      <c r="B48" s="487"/>
      <c r="C48" s="487"/>
      <c r="D48" s="487">
        <f>'0.25 Mi Zone Seperation'!K48</f>
        <v>0</v>
      </c>
      <c r="E48" s="487">
        <f>'0.25 Mi Zone Seperation'!M48</f>
        <v>0.01</v>
      </c>
      <c r="F48" s="487"/>
      <c r="G48" s="487">
        <f>'0.25 Mi Zone Seperation'!Q48</f>
        <v>1.0999999999999999E-2</v>
      </c>
      <c r="H48" s="487">
        <f>'0.25 Mi Zone Seperation'!S48</f>
        <v>0.01</v>
      </c>
      <c r="I48" s="488">
        <f t="shared" si="1"/>
        <v>8.0000000000000002E-3</v>
      </c>
    </row>
    <row r="49" spans="1:10" x14ac:dyDescent="0.25">
      <c r="A49" s="446" t="s">
        <v>42</v>
      </c>
      <c r="B49" s="487"/>
      <c r="C49" s="487"/>
      <c r="D49" s="487">
        <f>'0.25 Mi Zone Seperation'!K49</f>
        <v>5.2999999999999999E-2</v>
      </c>
      <c r="E49" s="487">
        <f>'0.25 Mi Zone Seperation'!M49</f>
        <v>0.05</v>
      </c>
      <c r="F49" s="487"/>
      <c r="G49" s="487">
        <f>'0.25 Mi Zone Seperation'!Q49</f>
        <v>3.9E-2</v>
      </c>
      <c r="H49" s="487">
        <f>'0.25 Mi Zone Seperation'!S49</f>
        <v>0.05</v>
      </c>
      <c r="I49" s="488">
        <f t="shared" si="1"/>
        <v>4.7E-2</v>
      </c>
    </row>
    <row r="50" spans="1:10" x14ac:dyDescent="0.25">
      <c r="A50" s="446" t="s">
        <v>87</v>
      </c>
      <c r="B50" s="487"/>
      <c r="C50" s="487"/>
      <c r="D50" s="487"/>
      <c r="E50" s="487"/>
      <c r="F50" s="487"/>
      <c r="G50" s="487"/>
      <c r="H50" s="487"/>
      <c r="I50" s="488"/>
    </row>
    <row r="51" spans="1:10" x14ac:dyDescent="0.25">
      <c r="A51" s="446" t="s">
        <v>431</v>
      </c>
      <c r="B51" s="487"/>
      <c r="C51" s="487"/>
      <c r="D51" s="487">
        <f>'0.25 Mi Zone Seperation'!K51</f>
        <v>0.191</v>
      </c>
      <c r="E51" s="487">
        <f>'0.25 Mi Zone Seperation'!M51</f>
        <v>0.23300000000000001</v>
      </c>
      <c r="F51" s="487"/>
      <c r="G51" s="487">
        <f>'0.25 Mi Zone Seperation'!Q51</f>
        <v>0.255</v>
      </c>
      <c r="H51" s="487">
        <f>'0.25 Mi Zone Seperation'!S51</f>
        <v>0.23300000000000001</v>
      </c>
      <c r="I51" s="488">
        <f t="shared" si="1"/>
        <v>0.22900000000000001</v>
      </c>
      <c r="J51" s="491"/>
    </row>
    <row r="52" spans="1:10" x14ac:dyDescent="0.25">
      <c r="A52" s="446" t="s">
        <v>432</v>
      </c>
      <c r="B52" s="487"/>
      <c r="C52" s="487"/>
      <c r="D52" s="487">
        <f>'0.25 Mi Zone Seperation'!K52</f>
        <v>0.29299999999999998</v>
      </c>
      <c r="E52" s="487">
        <f>'0.25 Mi Zone Seperation'!M52</f>
        <v>0.20599999999999999</v>
      </c>
      <c r="F52" s="487"/>
      <c r="G52" s="487">
        <f>'0.25 Mi Zone Seperation'!Q52</f>
        <v>0.14299999999999999</v>
      </c>
      <c r="H52" s="487">
        <f>'0.25 Mi Zone Seperation'!S52</f>
        <v>0.20599999999999999</v>
      </c>
      <c r="I52" s="488">
        <f t="shared" si="1"/>
        <v>0.20799999999999999</v>
      </c>
    </row>
    <row r="53" spans="1:10" x14ac:dyDescent="0.25">
      <c r="A53" s="446" t="s">
        <v>433</v>
      </c>
      <c r="B53" s="487"/>
      <c r="C53" s="487"/>
      <c r="D53" s="487">
        <f>'0.25 Mi Zone Seperation'!K53</f>
        <v>0.34599999999999997</v>
      </c>
      <c r="E53" s="487">
        <f>'0.25 Mi Zone Seperation'!M53</f>
        <v>0.22700000000000001</v>
      </c>
      <c r="F53" s="487"/>
      <c r="G53" s="487">
        <f>'0.25 Mi Zone Seperation'!Q53</f>
        <v>0.188</v>
      </c>
      <c r="H53" s="487">
        <f>'0.25 Mi Zone Seperation'!S53</f>
        <v>0.22700000000000001</v>
      </c>
      <c r="I53" s="488">
        <f t="shared" si="1"/>
        <v>0.247</v>
      </c>
    </row>
    <row r="54" spans="1:10" x14ac:dyDescent="0.25">
      <c r="A54" s="446" t="s">
        <v>434</v>
      </c>
      <c r="B54" s="487"/>
      <c r="C54" s="487"/>
      <c r="D54" s="487">
        <f>'0.25 Mi Zone Seperation'!K54</f>
        <v>3.7999999999999999E-2</v>
      </c>
      <c r="E54" s="487">
        <f>'0.25 Mi Zone Seperation'!M54</f>
        <v>0.13200000000000001</v>
      </c>
      <c r="F54" s="487"/>
      <c r="G54" s="487">
        <f>'0.25 Mi Zone Seperation'!Q54</f>
        <v>0.16</v>
      </c>
      <c r="H54" s="487">
        <f>'0.25 Mi Zone Seperation'!S54</f>
        <v>0.13200000000000001</v>
      </c>
      <c r="I54" s="488">
        <f t="shared" si="1"/>
        <v>0.115</v>
      </c>
    </row>
    <row r="55" spans="1:10" x14ac:dyDescent="0.25">
      <c r="A55" s="446" t="s">
        <v>435</v>
      </c>
      <c r="B55" s="487"/>
      <c r="C55" s="487"/>
      <c r="D55" s="487">
        <f>'0.25 Mi Zone Seperation'!K55</f>
        <v>1.6E-2</v>
      </c>
      <c r="E55" s="487">
        <f>'0.25 Mi Zone Seperation'!M55</f>
        <v>2.7E-2</v>
      </c>
      <c r="F55" s="487"/>
      <c r="G55" s="487">
        <f>'0.25 Mi Zone Seperation'!Q55</f>
        <v>2.5999999999999999E-2</v>
      </c>
      <c r="H55" s="487">
        <f>'0.25 Mi Zone Seperation'!S55</f>
        <v>2.7E-2</v>
      </c>
      <c r="I55" s="488">
        <f t="shared" si="1"/>
        <v>2.4E-2</v>
      </c>
    </row>
    <row r="56" spans="1:10" x14ac:dyDescent="0.25">
      <c r="A56" s="446" t="s">
        <v>436</v>
      </c>
      <c r="B56" s="487"/>
      <c r="C56" s="487"/>
      <c r="D56" s="487">
        <f>'0.25 Mi Zone Seperation'!K56</f>
        <v>2.1999999999999999E-2</v>
      </c>
      <c r="E56" s="487">
        <f>'0.25 Mi Zone Seperation'!M56</f>
        <v>5.0999999999999997E-2</v>
      </c>
      <c r="F56" s="487"/>
      <c r="G56" s="487">
        <f>'0.25 Mi Zone Seperation'!Q56</f>
        <v>0.13300000000000001</v>
      </c>
      <c r="H56" s="487">
        <f>'0.25 Mi Zone Seperation'!S56</f>
        <v>5.0999999999999997E-2</v>
      </c>
      <c r="I56" s="488">
        <f t="shared" si="1"/>
        <v>7.1999999999999995E-2</v>
      </c>
    </row>
    <row r="57" spans="1:10" x14ac:dyDescent="0.25">
      <c r="A57" s="446" t="s">
        <v>437</v>
      </c>
      <c r="B57" s="487"/>
      <c r="C57" s="487"/>
      <c r="D57" s="487">
        <f>'0.25 Mi Zone Seperation'!K57</f>
        <v>1.4E-2</v>
      </c>
      <c r="E57" s="487">
        <f>'0.25 Mi Zone Seperation'!M57</f>
        <v>7.0000000000000001E-3</v>
      </c>
      <c r="F57" s="487"/>
      <c r="G57" s="487">
        <f>'0.25 Mi Zone Seperation'!Q57</f>
        <v>1.6E-2</v>
      </c>
      <c r="H57" s="487">
        <f>'0.25 Mi Zone Seperation'!S57</f>
        <v>7.0000000000000001E-3</v>
      </c>
      <c r="I57" s="488">
        <f t="shared" si="1"/>
        <v>1.2E-2</v>
      </c>
    </row>
    <row r="58" spans="1:10" x14ac:dyDescent="0.25">
      <c r="A58" s="446" t="s">
        <v>438</v>
      </c>
      <c r="B58" s="487"/>
      <c r="C58" s="487"/>
      <c r="D58" s="487">
        <f>'0.25 Mi Zone Seperation'!K58</f>
        <v>2.1000000000000001E-2</v>
      </c>
      <c r="E58" s="487">
        <f>'0.25 Mi Zone Seperation'!M58</f>
        <v>2.1999999999999999E-2</v>
      </c>
      <c r="F58" s="487"/>
      <c r="G58" s="487">
        <f>'0.25 Mi Zone Seperation'!Q58</f>
        <v>3.5999999999999997E-2</v>
      </c>
      <c r="H58" s="487">
        <f>'0.25 Mi Zone Seperation'!S58</f>
        <v>2.1999999999999999E-2</v>
      </c>
      <c r="I58" s="488">
        <f t="shared" si="1"/>
        <v>2.7E-2</v>
      </c>
    </row>
    <row r="59" spans="1:10" x14ac:dyDescent="0.25">
      <c r="A59" s="446" t="s">
        <v>439</v>
      </c>
      <c r="B59" s="487"/>
      <c r="C59" s="487"/>
      <c r="D59" s="487">
        <f>'0.25 Mi Zone Seperation'!K59</f>
        <v>5.8999999999999997E-2</v>
      </c>
      <c r="E59" s="487">
        <f>'0.25 Mi Zone Seperation'!M59</f>
        <v>9.5000000000000001E-2</v>
      </c>
      <c r="F59" s="487"/>
      <c r="G59" s="487">
        <f>'0.25 Mi Zone Seperation'!Q59</f>
        <v>4.2999999999999997E-2</v>
      </c>
      <c r="H59" s="487">
        <f>'0.25 Mi Zone Seperation'!S59</f>
        <v>9.5000000000000001E-2</v>
      </c>
      <c r="I59" s="488">
        <f t="shared" si="1"/>
        <v>6.7000000000000004E-2</v>
      </c>
    </row>
    <row r="60" spans="1:10" x14ac:dyDescent="0.25">
      <c r="A60" s="446" t="s">
        <v>88</v>
      </c>
      <c r="B60" s="489"/>
      <c r="C60" s="489"/>
      <c r="D60" s="489">
        <f>'0.25 Mi Zone Seperation'!K60</f>
        <v>16.399999999999999</v>
      </c>
      <c r="E60" s="489">
        <f>'0.25 Mi Zone Seperation'!M60</f>
        <v>18.899999999999999</v>
      </c>
      <c r="F60" s="489"/>
      <c r="G60" s="489">
        <f>'0.25 Mi Zone Seperation'!Q60</f>
        <v>19.399999999999999</v>
      </c>
      <c r="H60" s="489">
        <f>'0.25 Mi Zone Seperation'!S60</f>
        <v>18.899999999999999</v>
      </c>
      <c r="I60" s="490">
        <f t="shared" si="1"/>
        <v>18.373999999999999</v>
      </c>
    </row>
    <row r="61" spans="1:10" x14ac:dyDescent="0.25">
      <c r="A61" s="446" t="s">
        <v>89</v>
      </c>
      <c r="B61" s="486"/>
      <c r="C61" s="486"/>
      <c r="D61" s="486"/>
      <c r="E61" s="486"/>
      <c r="F61" s="486"/>
      <c r="G61" s="486"/>
      <c r="H61" s="486"/>
      <c r="I61" s="481"/>
    </row>
    <row r="62" spans="1:10" x14ac:dyDescent="0.25">
      <c r="A62" s="446" t="s">
        <v>440</v>
      </c>
      <c r="B62" s="479"/>
      <c r="C62" s="479"/>
      <c r="D62" s="479">
        <f>'0.25 Mi Zone Seperation'!K62</f>
        <v>571</v>
      </c>
      <c r="E62" s="479">
        <f>'0.25 Mi Zone Seperation'!M62</f>
        <v>472.5</v>
      </c>
      <c r="F62" s="479"/>
      <c r="G62" s="479">
        <f>'0.25 Mi Zone Seperation'!Q62</f>
        <v>721</v>
      </c>
      <c r="H62" s="479">
        <f>'0.25 Mi Zone Seperation'!S62</f>
        <v>236.25</v>
      </c>
      <c r="I62" s="480">
        <f>SUM(B62:H62)</f>
        <v>2000.75</v>
      </c>
    </row>
    <row r="63" spans="1:10" x14ac:dyDescent="0.25">
      <c r="A63" s="446" t="s">
        <v>441</v>
      </c>
      <c r="B63" s="487"/>
      <c r="C63" s="487"/>
      <c r="D63" s="487">
        <f>'0.25 Mi Zone Seperation'!K63</f>
        <v>0.13100000000000001</v>
      </c>
      <c r="E63" s="487">
        <f>'0.25 Mi Zone Seperation'!M63</f>
        <v>4.2000000000000003E-2</v>
      </c>
      <c r="F63" s="487"/>
      <c r="G63" s="487">
        <f>'0.25 Mi Zone Seperation'!Q63</f>
        <v>8.5999999999999993E-2</v>
      </c>
      <c r="H63" s="487">
        <f>'0.25 Mi Zone Seperation'!S63</f>
        <v>4.2000000000000003E-2</v>
      </c>
      <c r="I63" s="488">
        <f>ROUND(((B63*$B$62)+(C63*$C$62)+(D63*$D$62)+(E63*$E$62)+(F63*$F$62)+(G63*$G$62)+(H63*$H$62))/$I$62,3)</f>
        <v>8.3000000000000004E-2</v>
      </c>
    </row>
    <row r="64" spans="1:10" x14ac:dyDescent="0.25">
      <c r="A64" s="446" t="s">
        <v>442</v>
      </c>
      <c r="B64" s="487"/>
      <c r="C64" s="487"/>
      <c r="D64" s="487">
        <f>'0.25 Mi Zone Seperation'!K64</f>
        <v>0.435</v>
      </c>
      <c r="E64" s="487">
        <f>'0.25 Mi Zone Seperation'!M64</f>
        <v>0.34200000000000003</v>
      </c>
      <c r="F64" s="487"/>
      <c r="G64" s="487">
        <f>'0.25 Mi Zone Seperation'!Q64</f>
        <v>0.308</v>
      </c>
      <c r="H64" s="487">
        <f>'0.25 Mi Zone Seperation'!S64</f>
        <v>0.34200000000000003</v>
      </c>
      <c r="I64" s="488">
        <f t="shared" ref="I64:I66" si="2">ROUND(((B64*$B$62)+(C64*$C$62)+(D64*$D$62)+(E64*$E$62)+(F64*$F$62)+(G64*$G$62)+(H64*$H$62))/$I$62,3)</f>
        <v>0.35599999999999998</v>
      </c>
    </row>
    <row r="65" spans="1:9" x14ac:dyDescent="0.25">
      <c r="A65" s="446" t="s">
        <v>443</v>
      </c>
      <c r="B65" s="487"/>
      <c r="C65" s="487"/>
      <c r="D65" s="487">
        <f>'0.25 Mi Zone Seperation'!K65</f>
        <v>0.32</v>
      </c>
      <c r="E65" s="487">
        <f>'0.25 Mi Zone Seperation'!M65</f>
        <v>0.41499999999999998</v>
      </c>
      <c r="F65" s="487"/>
      <c r="G65" s="487">
        <f>'0.25 Mi Zone Seperation'!Q65</f>
        <v>0.438</v>
      </c>
      <c r="H65" s="487">
        <f>'0.25 Mi Zone Seperation'!S65</f>
        <v>0.41499999999999998</v>
      </c>
      <c r="I65" s="488">
        <f t="shared" si="2"/>
        <v>0.39600000000000002</v>
      </c>
    </row>
    <row r="66" spans="1:9" ht="15.75" thickBot="1" x14ac:dyDescent="0.3">
      <c r="A66" s="448" t="s">
        <v>444</v>
      </c>
      <c r="B66" s="492"/>
      <c r="C66" s="492"/>
      <c r="D66" s="492">
        <f>'0.25 Mi Zone Seperation'!K66</f>
        <v>0.114</v>
      </c>
      <c r="E66" s="492">
        <f>'0.25 Mi Zone Seperation'!M66</f>
        <v>0.20100000000000001</v>
      </c>
      <c r="F66" s="492"/>
      <c r="G66" s="492">
        <f>'0.25 Mi Zone Seperation'!Q66</f>
        <v>0.16800000000000001</v>
      </c>
      <c r="H66" s="492">
        <f>'0.25 Mi Zone Seperation'!S66</f>
        <v>0.20100000000000001</v>
      </c>
      <c r="I66" s="493">
        <f t="shared" si="2"/>
        <v>0.16400000000000001</v>
      </c>
    </row>
  </sheetData>
  <sheetProtection password="891C" sheet="1" objects="1" scenarios="1"/>
  <mergeCells count="1">
    <mergeCell ref="A1:I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zoomScale="80" zoomScaleNormal="80" workbookViewId="0">
      <selection activeCell="T12" sqref="T12"/>
    </sheetView>
  </sheetViews>
  <sheetFormatPr defaultRowHeight="15" x14ac:dyDescent="0.25"/>
  <cols>
    <col min="1" max="1" width="38" style="233" customWidth="1"/>
    <col min="2" max="21" width="14.7109375" style="4" customWidth="1"/>
    <col min="22" max="16384" width="9.140625" style="4"/>
  </cols>
  <sheetData>
    <row r="1" spans="1:21" x14ac:dyDescent="0.25">
      <c r="A1" s="749" t="s">
        <v>446</v>
      </c>
      <c r="B1" s="747"/>
      <c r="C1" s="747"/>
      <c r="D1" s="747"/>
      <c r="E1" s="748"/>
      <c r="F1" s="749" t="s">
        <v>495</v>
      </c>
      <c r="G1" s="747"/>
      <c r="H1" s="668" t="s">
        <v>496</v>
      </c>
      <c r="I1" s="670"/>
      <c r="J1" s="750" t="s">
        <v>497</v>
      </c>
      <c r="K1" s="670"/>
      <c r="L1" s="747" t="s">
        <v>498</v>
      </c>
      <c r="M1" s="748"/>
      <c r="N1" s="749" t="s">
        <v>499</v>
      </c>
      <c r="O1" s="747"/>
      <c r="P1" s="668" t="s">
        <v>541</v>
      </c>
      <c r="Q1" s="670"/>
      <c r="R1" s="747" t="s">
        <v>501</v>
      </c>
      <c r="S1" s="748"/>
    </row>
    <row r="2" spans="1:21" ht="17.25" x14ac:dyDescent="0.25">
      <c r="A2" s="232"/>
      <c r="B2" s="95">
        <v>1.01</v>
      </c>
      <c r="C2" s="95">
        <v>1.02</v>
      </c>
      <c r="D2" s="95">
        <v>10</v>
      </c>
      <c r="E2" s="45" t="s">
        <v>0</v>
      </c>
      <c r="F2" s="231" t="s">
        <v>520</v>
      </c>
      <c r="G2" s="235" t="s">
        <v>519</v>
      </c>
      <c r="H2" s="231" t="s">
        <v>520</v>
      </c>
      <c r="I2" s="45" t="s">
        <v>521</v>
      </c>
      <c r="J2" s="252" t="s">
        <v>520</v>
      </c>
      <c r="K2" s="45" t="s">
        <v>522</v>
      </c>
      <c r="L2" s="252" t="s">
        <v>525</v>
      </c>
      <c r="M2" s="45" t="s">
        <v>524</v>
      </c>
      <c r="N2" s="231" t="s">
        <v>537</v>
      </c>
      <c r="O2" s="235" t="s">
        <v>526</v>
      </c>
      <c r="P2" s="231">
        <v>10</v>
      </c>
      <c r="Q2" s="45" t="s">
        <v>527</v>
      </c>
      <c r="R2" s="252" t="s">
        <v>540</v>
      </c>
      <c r="S2" s="45" t="s">
        <v>524</v>
      </c>
      <c r="U2" s="234"/>
    </row>
    <row r="3" spans="1:21" x14ac:dyDescent="0.25">
      <c r="A3" s="232" t="s">
        <v>1</v>
      </c>
      <c r="B3" s="38">
        <v>3169</v>
      </c>
      <c r="C3" s="38">
        <v>1908</v>
      </c>
      <c r="D3" s="38">
        <v>1540</v>
      </c>
      <c r="E3" s="42">
        <f t="shared" ref="E3:E36" si="0">SUM(B3:D3)</f>
        <v>6617</v>
      </c>
      <c r="F3" s="243">
        <f t="shared" ref="F3:F36" si="1">(1/3)*B3</f>
        <v>1056.3333333333333</v>
      </c>
      <c r="G3" s="166">
        <f>F3</f>
        <v>1056.3333333333333</v>
      </c>
      <c r="H3" s="243">
        <f t="shared" ref="H3:H36" si="2">(1/3)*B3</f>
        <v>1056.3333333333333</v>
      </c>
      <c r="I3" s="42">
        <f>H3</f>
        <v>1056.3333333333333</v>
      </c>
      <c r="J3" s="167">
        <f t="shared" ref="J3:J36" si="3">(1/3)*B3</f>
        <v>1056.3333333333333</v>
      </c>
      <c r="K3" s="42">
        <f>J3</f>
        <v>1056.3333333333333</v>
      </c>
      <c r="L3" s="167">
        <f t="shared" ref="L3:L36" si="4">(1/2)*C3</f>
        <v>954</v>
      </c>
      <c r="M3" s="42">
        <f>L3</f>
        <v>954</v>
      </c>
      <c r="N3" s="243">
        <f t="shared" ref="N3:N36" si="5">(1/2)*C3</f>
        <v>954</v>
      </c>
      <c r="O3" s="166">
        <f>N3</f>
        <v>954</v>
      </c>
      <c r="P3" s="243">
        <f t="shared" ref="P3:P36" si="6">D3</f>
        <v>1540</v>
      </c>
      <c r="Q3" s="42">
        <f>P3</f>
        <v>1540</v>
      </c>
      <c r="R3" s="167">
        <f t="shared" ref="R3:R36" si="7">(1/4)*C3</f>
        <v>477</v>
      </c>
      <c r="S3" s="42">
        <f>R3</f>
        <v>477</v>
      </c>
      <c r="U3" s="6"/>
    </row>
    <row r="4" spans="1:21" x14ac:dyDescent="0.25">
      <c r="A4" s="232" t="s">
        <v>2</v>
      </c>
      <c r="B4" s="38">
        <v>117.253</v>
      </c>
      <c r="C4" s="38">
        <v>38.160000000000004</v>
      </c>
      <c r="D4" s="38">
        <v>35.42</v>
      </c>
      <c r="E4" s="42">
        <f t="shared" si="0"/>
        <v>190.83300000000003</v>
      </c>
      <c r="F4" s="243">
        <f t="shared" si="1"/>
        <v>39.084333333333333</v>
      </c>
      <c r="G4" s="166">
        <f t="shared" ref="G4:G66" si="8">F4</f>
        <v>39.084333333333333</v>
      </c>
      <c r="H4" s="243">
        <f t="shared" si="2"/>
        <v>39.084333333333333</v>
      </c>
      <c r="I4" s="42">
        <f t="shared" ref="I4:I66" si="9">H4</f>
        <v>39.084333333333333</v>
      </c>
      <c r="J4" s="167">
        <f t="shared" si="3"/>
        <v>39.084333333333333</v>
      </c>
      <c r="K4" s="42">
        <f t="shared" ref="K4:K66" si="10">J4</f>
        <v>39.084333333333333</v>
      </c>
      <c r="L4" s="167">
        <f t="shared" si="4"/>
        <v>19.080000000000002</v>
      </c>
      <c r="M4" s="42">
        <f t="shared" ref="M4:M66" si="11">L4</f>
        <v>19.080000000000002</v>
      </c>
      <c r="N4" s="243">
        <f t="shared" si="5"/>
        <v>19.080000000000002</v>
      </c>
      <c r="O4" s="166">
        <f t="shared" ref="O4:O66" si="12">N4</f>
        <v>19.080000000000002</v>
      </c>
      <c r="P4" s="243">
        <f t="shared" si="6"/>
        <v>35.42</v>
      </c>
      <c r="Q4" s="42">
        <f t="shared" ref="Q4:Q66" si="13">P4</f>
        <v>35.42</v>
      </c>
      <c r="R4" s="167">
        <f t="shared" si="7"/>
        <v>9.5400000000000009</v>
      </c>
      <c r="S4" s="42">
        <f t="shared" ref="S4:S66" si="14">R4</f>
        <v>9.5400000000000009</v>
      </c>
    </row>
    <row r="5" spans="1:21" x14ac:dyDescent="0.25">
      <c r="A5" s="232" t="s">
        <v>3</v>
      </c>
      <c r="B5" s="38">
        <v>57.041999999999994</v>
      </c>
      <c r="C5" s="38">
        <v>36.252000000000002</v>
      </c>
      <c r="D5" s="38">
        <v>120.12</v>
      </c>
      <c r="E5" s="42">
        <f t="shared" si="0"/>
        <v>213.41399999999999</v>
      </c>
      <c r="F5" s="243">
        <f t="shared" si="1"/>
        <v>19.013999999999996</v>
      </c>
      <c r="G5" s="166">
        <f t="shared" si="8"/>
        <v>19.013999999999996</v>
      </c>
      <c r="H5" s="243">
        <f t="shared" si="2"/>
        <v>19.013999999999996</v>
      </c>
      <c r="I5" s="42">
        <f t="shared" si="9"/>
        <v>19.013999999999996</v>
      </c>
      <c r="J5" s="167">
        <f t="shared" si="3"/>
        <v>19.013999999999996</v>
      </c>
      <c r="K5" s="42">
        <f t="shared" si="10"/>
        <v>19.013999999999996</v>
      </c>
      <c r="L5" s="167">
        <f t="shared" si="4"/>
        <v>18.126000000000001</v>
      </c>
      <c r="M5" s="42">
        <f t="shared" si="11"/>
        <v>18.126000000000001</v>
      </c>
      <c r="N5" s="243">
        <f t="shared" si="5"/>
        <v>18.126000000000001</v>
      </c>
      <c r="O5" s="166">
        <f t="shared" si="12"/>
        <v>18.126000000000001</v>
      </c>
      <c r="P5" s="243">
        <f t="shared" si="6"/>
        <v>120.12</v>
      </c>
      <c r="Q5" s="42">
        <f t="shared" si="13"/>
        <v>120.12</v>
      </c>
      <c r="R5" s="167">
        <f t="shared" si="7"/>
        <v>9.0630000000000006</v>
      </c>
      <c r="S5" s="42">
        <f t="shared" si="14"/>
        <v>9.0630000000000006</v>
      </c>
    </row>
    <row r="6" spans="1:21" x14ac:dyDescent="0.25">
      <c r="A6" s="232" t="s">
        <v>4</v>
      </c>
      <c r="B6" s="38">
        <v>117.253</v>
      </c>
      <c r="C6" s="38">
        <v>34.343999999999994</v>
      </c>
      <c r="D6" s="38">
        <v>141.68</v>
      </c>
      <c r="E6" s="42">
        <f t="shared" si="0"/>
        <v>293.27699999999999</v>
      </c>
      <c r="F6" s="243">
        <f t="shared" si="1"/>
        <v>39.084333333333333</v>
      </c>
      <c r="G6" s="166">
        <f t="shared" si="8"/>
        <v>39.084333333333333</v>
      </c>
      <c r="H6" s="243">
        <f t="shared" si="2"/>
        <v>39.084333333333333</v>
      </c>
      <c r="I6" s="42">
        <f t="shared" si="9"/>
        <v>39.084333333333333</v>
      </c>
      <c r="J6" s="167">
        <f t="shared" si="3"/>
        <v>39.084333333333333</v>
      </c>
      <c r="K6" s="42">
        <f t="shared" si="10"/>
        <v>39.084333333333333</v>
      </c>
      <c r="L6" s="167">
        <f t="shared" si="4"/>
        <v>17.171999999999997</v>
      </c>
      <c r="M6" s="42">
        <f t="shared" si="11"/>
        <v>17.171999999999997</v>
      </c>
      <c r="N6" s="243">
        <f t="shared" si="5"/>
        <v>17.171999999999997</v>
      </c>
      <c r="O6" s="166">
        <f t="shared" si="12"/>
        <v>17.171999999999997</v>
      </c>
      <c r="P6" s="243">
        <f t="shared" si="6"/>
        <v>141.68</v>
      </c>
      <c r="Q6" s="42">
        <f t="shared" si="13"/>
        <v>141.68</v>
      </c>
      <c r="R6" s="167">
        <f t="shared" si="7"/>
        <v>8.5859999999999985</v>
      </c>
      <c r="S6" s="42">
        <f t="shared" si="14"/>
        <v>8.5859999999999985</v>
      </c>
    </row>
    <row r="7" spans="1:21" x14ac:dyDescent="0.25">
      <c r="A7" s="232" t="s">
        <v>5</v>
      </c>
      <c r="B7" s="38">
        <v>104.577</v>
      </c>
      <c r="C7" s="38">
        <v>17.171999999999997</v>
      </c>
      <c r="D7" s="38">
        <v>64.680000000000007</v>
      </c>
      <c r="E7" s="42">
        <f t="shared" si="0"/>
        <v>186.429</v>
      </c>
      <c r="F7" s="243">
        <f t="shared" si="1"/>
        <v>34.858999999999995</v>
      </c>
      <c r="G7" s="166">
        <f t="shared" si="8"/>
        <v>34.858999999999995</v>
      </c>
      <c r="H7" s="243">
        <f t="shared" si="2"/>
        <v>34.858999999999995</v>
      </c>
      <c r="I7" s="42">
        <f t="shared" si="9"/>
        <v>34.858999999999995</v>
      </c>
      <c r="J7" s="167">
        <f t="shared" si="3"/>
        <v>34.858999999999995</v>
      </c>
      <c r="K7" s="42">
        <f t="shared" si="10"/>
        <v>34.858999999999995</v>
      </c>
      <c r="L7" s="167">
        <f t="shared" si="4"/>
        <v>8.5859999999999985</v>
      </c>
      <c r="M7" s="42">
        <f t="shared" si="11"/>
        <v>8.5859999999999985</v>
      </c>
      <c r="N7" s="243">
        <f t="shared" si="5"/>
        <v>8.5859999999999985</v>
      </c>
      <c r="O7" s="166">
        <f t="shared" si="12"/>
        <v>8.5859999999999985</v>
      </c>
      <c r="P7" s="243">
        <f t="shared" si="6"/>
        <v>64.680000000000007</v>
      </c>
      <c r="Q7" s="42">
        <f t="shared" si="13"/>
        <v>64.680000000000007</v>
      </c>
      <c r="R7" s="167">
        <f t="shared" si="7"/>
        <v>4.2929999999999993</v>
      </c>
      <c r="S7" s="42">
        <f t="shared" si="14"/>
        <v>4.2929999999999993</v>
      </c>
    </row>
    <row r="8" spans="1:21" x14ac:dyDescent="0.25">
      <c r="A8" s="232" t="s">
        <v>6</v>
      </c>
      <c r="B8" s="38">
        <v>947.53099999999995</v>
      </c>
      <c r="C8" s="38">
        <v>228.95999999999998</v>
      </c>
      <c r="D8" s="38">
        <v>255.64000000000001</v>
      </c>
      <c r="E8" s="42">
        <f t="shared" si="0"/>
        <v>1432.1310000000001</v>
      </c>
      <c r="F8" s="243">
        <f t="shared" si="1"/>
        <v>315.84366666666665</v>
      </c>
      <c r="G8" s="166">
        <f t="shared" si="8"/>
        <v>315.84366666666665</v>
      </c>
      <c r="H8" s="243">
        <f t="shared" si="2"/>
        <v>315.84366666666665</v>
      </c>
      <c r="I8" s="42">
        <f t="shared" si="9"/>
        <v>315.84366666666665</v>
      </c>
      <c r="J8" s="167">
        <f t="shared" si="3"/>
        <v>315.84366666666665</v>
      </c>
      <c r="K8" s="42">
        <f t="shared" si="10"/>
        <v>315.84366666666665</v>
      </c>
      <c r="L8" s="167">
        <f t="shared" si="4"/>
        <v>114.47999999999999</v>
      </c>
      <c r="M8" s="42">
        <f t="shared" si="11"/>
        <v>114.47999999999999</v>
      </c>
      <c r="N8" s="243">
        <f t="shared" si="5"/>
        <v>114.47999999999999</v>
      </c>
      <c r="O8" s="166">
        <f t="shared" si="12"/>
        <v>114.47999999999999</v>
      </c>
      <c r="P8" s="243">
        <f t="shared" si="6"/>
        <v>255.64000000000001</v>
      </c>
      <c r="Q8" s="42">
        <f t="shared" si="13"/>
        <v>255.64000000000001</v>
      </c>
      <c r="R8" s="167">
        <f t="shared" si="7"/>
        <v>57.239999999999995</v>
      </c>
      <c r="S8" s="42">
        <f t="shared" si="14"/>
        <v>57.239999999999995</v>
      </c>
    </row>
    <row r="9" spans="1:21" x14ac:dyDescent="0.25">
      <c r="A9" s="232" t="s">
        <v>7</v>
      </c>
      <c r="B9" s="38">
        <v>304.22399999999999</v>
      </c>
      <c r="C9" s="38">
        <v>198.43199999999999</v>
      </c>
      <c r="D9" s="38">
        <v>167.86</v>
      </c>
      <c r="E9" s="42">
        <f t="shared" si="0"/>
        <v>670.51599999999996</v>
      </c>
      <c r="F9" s="243">
        <f t="shared" si="1"/>
        <v>101.40799999999999</v>
      </c>
      <c r="G9" s="166">
        <f t="shared" si="8"/>
        <v>101.40799999999999</v>
      </c>
      <c r="H9" s="243">
        <f t="shared" si="2"/>
        <v>101.40799999999999</v>
      </c>
      <c r="I9" s="42">
        <f t="shared" si="9"/>
        <v>101.40799999999999</v>
      </c>
      <c r="J9" s="167">
        <f t="shared" si="3"/>
        <v>101.40799999999999</v>
      </c>
      <c r="K9" s="42">
        <f t="shared" si="10"/>
        <v>101.40799999999999</v>
      </c>
      <c r="L9" s="167">
        <f t="shared" si="4"/>
        <v>99.215999999999994</v>
      </c>
      <c r="M9" s="42">
        <f t="shared" si="11"/>
        <v>99.215999999999994</v>
      </c>
      <c r="N9" s="243">
        <f t="shared" si="5"/>
        <v>99.215999999999994</v>
      </c>
      <c r="O9" s="166">
        <f t="shared" si="12"/>
        <v>99.215999999999994</v>
      </c>
      <c r="P9" s="243">
        <f t="shared" si="6"/>
        <v>167.86</v>
      </c>
      <c r="Q9" s="42">
        <f t="shared" si="13"/>
        <v>167.86</v>
      </c>
      <c r="R9" s="167">
        <f t="shared" si="7"/>
        <v>49.607999999999997</v>
      </c>
      <c r="S9" s="42">
        <f t="shared" si="14"/>
        <v>49.607999999999997</v>
      </c>
    </row>
    <row r="10" spans="1:21" x14ac:dyDescent="0.25">
      <c r="A10" s="232" t="s">
        <v>8</v>
      </c>
      <c r="B10" s="38">
        <v>145.774</v>
      </c>
      <c r="C10" s="38">
        <v>108.756</v>
      </c>
      <c r="D10" s="38">
        <v>73.92</v>
      </c>
      <c r="E10" s="42">
        <f t="shared" si="0"/>
        <v>328.45</v>
      </c>
      <c r="F10" s="243">
        <f t="shared" si="1"/>
        <v>48.591333333333331</v>
      </c>
      <c r="G10" s="166">
        <f t="shared" si="8"/>
        <v>48.591333333333331</v>
      </c>
      <c r="H10" s="243">
        <f t="shared" si="2"/>
        <v>48.591333333333331</v>
      </c>
      <c r="I10" s="42">
        <f t="shared" si="9"/>
        <v>48.591333333333331</v>
      </c>
      <c r="J10" s="167">
        <f t="shared" si="3"/>
        <v>48.591333333333331</v>
      </c>
      <c r="K10" s="42">
        <f t="shared" si="10"/>
        <v>48.591333333333331</v>
      </c>
      <c r="L10" s="167">
        <f t="shared" si="4"/>
        <v>54.378</v>
      </c>
      <c r="M10" s="42">
        <f t="shared" si="11"/>
        <v>54.378</v>
      </c>
      <c r="N10" s="243">
        <f t="shared" si="5"/>
        <v>54.378</v>
      </c>
      <c r="O10" s="166">
        <f t="shared" si="12"/>
        <v>54.378</v>
      </c>
      <c r="P10" s="243">
        <f t="shared" si="6"/>
        <v>73.92</v>
      </c>
      <c r="Q10" s="42">
        <f t="shared" si="13"/>
        <v>73.92</v>
      </c>
      <c r="R10" s="167">
        <f t="shared" si="7"/>
        <v>27.189</v>
      </c>
      <c r="S10" s="42">
        <f t="shared" si="14"/>
        <v>27.189</v>
      </c>
    </row>
    <row r="11" spans="1:21" x14ac:dyDescent="0.25">
      <c r="A11" s="232" t="s">
        <v>9</v>
      </c>
      <c r="B11" s="38">
        <v>209.154</v>
      </c>
      <c r="C11" s="38">
        <v>196.524</v>
      </c>
      <c r="D11" s="38">
        <v>118.58</v>
      </c>
      <c r="E11" s="42">
        <f t="shared" si="0"/>
        <v>524.25800000000004</v>
      </c>
      <c r="F11" s="243">
        <f t="shared" si="1"/>
        <v>69.717999999999989</v>
      </c>
      <c r="G11" s="166">
        <f t="shared" si="8"/>
        <v>69.717999999999989</v>
      </c>
      <c r="H11" s="243">
        <f t="shared" si="2"/>
        <v>69.717999999999989</v>
      </c>
      <c r="I11" s="42">
        <f t="shared" si="9"/>
        <v>69.717999999999989</v>
      </c>
      <c r="J11" s="167">
        <f t="shared" si="3"/>
        <v>69.717999999999989</v>
      </c>
      <c r="K11" s="42">
        <f t="shared" si="10"/>
        <v>69.717999999999989</v>
      </c>
      <c r="L11" s="167">
        <f t="shared" si="4"/>
        <v>98.262</v>
      </c>
      <c r="M11" s="42">
        <f t="shared" si="11"/>
        <v>98.262</v>
      </c>
      <c r="N11" s="243">
        <f t="shared" si="5"/>
        <v>98.262</v>
      </c>
      <c r="O11" s="166">
        <f t="shared" si="12"/>
        <v>98.262</v>
      </c>
      <c r="P11" s="243">
        <f t="shared" si="6"/>
        <v>118.58</v>
      </c>
      <c r="Q11" s="42">
        <f t="shared" si="13"/>
        <v>118.58</v>
      </c>
      <c r="R11" s="167">
        <f t="shared" si="7"/>
        <v>49.131</v>
      </c>
      <c r="S11" s="42">
        <f t="shared" si="14"/>
        <v>49.131</v>
      </c>
    </row>
    <row r="12" spans="1:21" x14ac:dyDescent="0.25">
      <c r="A12" s="232" t="s">
        <v>10</v>
      </c>
      <c r="B12" s="38">
        <v>85.563000000000002</v>
      </c>
      <c r="C12" s="38">
        <v>156.45600000000002</v>
      </c>
      <c r="D12" s="38">
        <v>55.44</v>
      </c>
      <c r="E12" s="42">
        <f t="shared" si="0"/>
        <v>297.459</v>
      </c>
      <c r="F12" s="243">
        <f t="shared" si="1"/>
        <v>28.521000000000001</v>
      </c>
      <c r="G12" s="166">
        <f t="shared" si="8"/>
        <v>28.521000000000001</v>
      </c>
      <c r="H12" s="243">
        <f t="shared" si="2"/>
        <v>28.521000000000001</v>
      </c>
      <c r="I12" s="42">
        <f t="shared" si="9"/>
        <v>28.521000000000001</v>
      </c>
      <c r="J12" s="167">
        <f t="shared" si="3"/>
        <v>28.521000000000001</v>
      </c>
      <c r="K12" s="42">
        <f t="shared" si="10"/>
        <v>28.521000000000001</v>
      </c>
      <c r="L12" s="167">
        <f t="shared" si="4"/>
        <v>78.228000000000009</v>
      </c>
      <c r="M12" s="42">
        <f t="shared" si="11"/>
        <v>78.228000000000009</v>
      </c>
      <c r="N12" s="243">
        <f t="shared" si="5"/>
        <v>78.228000000000009</v>
      </c>
      <c r="O12" s="166">
        <f t="shared" si="12"/>
        <v>78.228000000000009</v>
      </c>
      <c r="P12" s="243">
        <f t="shared" si="6"/>
        <v>55.44</v>
      </c>
      <c r="Q12" s="42">
        <f t="shared" si="13"/>
        <v>55.44</v>
      </c>
      <c r="R12" s="167">
        <f t="shared" si="7"/>
        <v>39.114000000000004</v>
      </c>
      <c r="S12" s="42">
        <f t="shared" si="14"/>
        <v>39.114000000000004</v>
      </c>
    </row>
    <row r="13" spans="1:21" x14ac:dyDescent="0.25">
      <c r="A13" s="232" t="s">
        <v>11</v>
      </c>
      <c r="B13" s="38">
        <v>98.239000000000004</v>
      </c>
      <c r="C13" s="38">
        <v>122.11200000000001</v>
      </c>
      <c r="D13" s="38">
        <v>72.38</v>
      </c>
      <c r="E13" s="42">
        <f t="shared" si="0"/>
        <v>292.73099999999999</v>
      </c>
      <c r="F13" s="243">
        <f t="shared" si="1"/>
        <v>32.746333333333332</v>
      </c>
      <c r="G13" s="166">
        <f t="shared" si="8"/>
        <v>32.746333333333332</v>
      </c>
      <c r="H13" s="243">
        <f t="shared" si="2"/>
        <v>32.746333333333332</v>
      </c>
      <c r="I13" s="42">
        <f t="shared" si="9"/>
        <v>32.746333333333332</v>
      </c>
      <c r="J13" s="167">
        <f t="shared" si="3"/>
        <v>32.746333333333332</v>
      </c>
      <c r="K13" s="42">
        <f t="shared" si="10"/>
        <v>32.746333333333332</v>
      </c>
      <c r="L13" s="167">
        <f t="shared" si="4"/>
        <v>61.056000000000004</v>
      </c>
      <c r="M13" s="42">
        <f t="shared" si="11"/>
        <v>61.056000000000004</v>
      </c>
      <c r="N13" s="243">
        <f t="shared" si="5"/>
        <v>61.056000000000004</v>
      </c>
      <c r="O13" s="166">
        <f t="shared" si="12"/>
        <v>61.056000000000004</v>
      </c>
      <c r="P13" s="243">
        <f t="shared" si="6"/>
        <v>72.38</v>
      </c>
      <c r="Q13" s="42">
        <f t="shared" si="13"/>
        <v>72.38</v>
      </c>
      <c r="R13" s="167">
        <f t="shared" si="7"/>
        <v>30.528000000000002</v>
      </c>
      <c r="S13" s="42">
        <f t="shared" si="14"/>
        <v>30.528000000000002</v>
      </c>
    </row>
    <row r="14" spans="1:21" x14ac:dyDescent="0.25">
      <c r="A14" s="232" t="s">
        <v>12</v>
      </c>
      <c r="B14" s="38">
        <v>205.98500000000001</v>
      </c>
      <c r="C14" s="38">
        <v>103.032</v>
      </c>
      <c r="D14" s="38">
        <v>121.66</v>
      </c>
      <c r="E14" s="42">
        <f t="shared" si="0"/>
        <v>430.67700000000002</v>
      </c>
      <c r="F14" s="243">
        <f t="shared" si="1"/>
        <v>68.661666666666662</v>
      </c>
      <c r="G14" s="166">
        <f t="shared" si="8"/>
        <v>68.661666666666662</v>
      </c>
      <c r="H14" s="243">
        <f t="shared" si="2"/>
        <v>68.661666666666662</v>
      </c>
      <c r="I14" s="42">
        <f t="shared" si="9"/>
        <v>68.661666666666662</v>
      </c>
      <c r="J14" s="167">
        <f t="shared" si="3"/>
        <v>68.661666666666662</v>
      </c>
      <c r="K14" s="42">
        <f t="shared" si="10"/>
        <v>68.661666666666662</v>
      </c>
      <c r="L14" s="167">
        <f t="shared" si="4"/>
        <v>51.515999999999998</v>
      </c>
      <c r="M14" s="42">
        <f t="shared" si="11"/>
        <v>51.515999999999998</v>
      </c>
      <c r="N14" s="243">
        <f t="shared" si="5"/>
        <v>51.515999999999998</v>
      </c>
      <c r="O14" s="166">
        <f t="shared" si="12"/>
        <v>51.515999999999998</v>
      </c>
      <c r="P14" s="243">
        <f t="shared" si="6"/>
        <v>121.66</v>
      </c>
      <c r="Q14" s="42">
        <f t="shared" si="13"/>
        <v>121.66</v>
      </c>
      <c r="R14" s="167">
        <f t="shared" si="7"/>
        <v>25.757999999999999</v>
      </c>
      <c r="S14" s="42">
        <f t="shared" si="14"/>
        <v>25.757999999999999</v>
      </c>
    </row>
    <row r="15" spans="1:21" x14ac:dyDescent="0.25">
      <c r="A15" s="232" t="s">
        <v>13</v>
      </c>
      <c r="B15" s="38">
        <v>190.14</v>
      </c>
      <c r="C15" s="38">
        <v>95.4</v>
      </c>
      <c r="D15" s="38">
        <v>107.80000000000001</v>
      </c>
      <c r="E15" s="42">
        <f t="shared" si="0"/>
        <v>393.34</v>
      </c>
      <c r="F15" s="243">
        <f t="shared" si="1"/>
        <v>63.379999999999995</v>
      </c>
      <c r="G15" s="166">
        <f t="shared" si="8"/>
        <v>63.379999999999995</v>
      </c>
      <c r="H15" s="243">
        <f t="shared" si="2"/>
        <v>63.379999999999995</v>
      </c>
      <c r="I15" s="42">
        <f t="shared" si="9"/>
        <v>63.379999999999995</v>
      </c>
      <c r="J15" s="167">
        <f t="shared" si="3"/>
        <v>63.379999999999995</v>
      </c>
      <c r="K15" s="42">
        <f t="shared" si="10"/>
        <v>63.379999999999995</v>
      </c>
      <c r="L15" s="167">
        <f t="shared" si="4"/>
        <v>47.7</v>
      </c>
      <c r="M15" s="42">
        <f t="shared" si="11"/>
        <v>47.7</v>
      </c>
      <c r="N15" s="243">
        <f t="shared" si="5"/>
        <v>47.7</v>
      </c>
      <c r="O15" s="166">
        <f t="shared" si="12"/>
        <v>47.7</v>
      </c>
      <c r="P15" s="243">
        <f t="shared" si="6"/>
        <v>107.80000000000001</v>
      </c>
      <c r="Q15" s="42">
        <f t="shared" si="13"/>
        <v>107.80000000000001</v>
      </c>
      <c r="R15" s="167">
        <f t="shared" si="7"/>
        <v>23.85</v>
      </c>
      <c r="S15" s="42">
        <f t="shared" si="14"/>
        <v>23.85</v>
      </c>
    </row>
    <row r="16" spans="1:21" x14ac:dyDescent="0.25">
      <c r="A16" s="232" t="s">
        <v>14</v>
      </c>
      <c r="B16" s="38">
        <v>221.83</v>
      </c>
      <c r="C16" s="38">
        <v>114.47999999999999</v>
      </c>
      <c r="D16" s="38">
        <v>98.56</v>
      </c>
      <c r="E16" s="42">
        <f t="shared" si="0"/>
        <v>434.87</v>
      </c>
      <c r="F16" s="243">
        <f t="shared" si="1"/>
        <v>73.943333333333328</v>
      </c>
      <c r="G16" s="166">
        <f t="shared" si="8"/>
        <v>73.943333333333328</v>
      </c>
      <c r="H16" s="243">
        <f t="shared" si="2"/>
        <v>73.943333333333328</v>
      </c>
      <c r="I16" s="42">
        <f t="shared" si="9"/>
        <v>73.943333333333328</v>
      </c>
      <c r="J16" s="167">
        <f t="shared" si="3"/>
        <v>73.943333333333328</v>
      </c>
      <c r="K16" s="42">
        <f t="shared" si="10"/>
        <v>73.943333333333328</v>
      </c>
      <c r="L16" s="167">
        <f t="shared" si="4"/>
        <v>57.239999999999995</v>
      </c>
      <c r="M16" s="42">
        <f t="shared" si="11"/>
        <v>57.239999999999995</v>
      </c>
      <c r="N16" s="243">
        <f t="shared" si="5"/>
        <v>57.239999999999995</v>
      </c>
      <c r="O16" s="166">
        <f t="shared" si="12"/>
        <v>57.239999999999995</v>
      </c>
      <c r="P16" s="243">
        <f t="shared" si="6"/>
        <v>98.56</v>
      </c>
      <c r="Q16" s="42">
        <f t="shared" si="13"/>
        <v>98.56</v>
      </c>
      <c r="R16" s="167">
        <f t="shared" si="7"/>
        <v>28.619999999999997</v>
      </c>
      <c r="S16" s="42">
        <f t="shared" si="14"/>
        <v>28.619999999999997</v>
      </c>
    </row>
    <row r="17" spans="1:19" x14ac:dyDescent="0.25">
      <c r="A17" s="232" t="s">
        <v>15</v>
      </c>
      <c r="B17" s="38">
        <v>114.08399999999999</v>
      </c>
      <c r="C17" s="38">
        <v>251.85600000000002</v>
      </c>
      <c r="D17" s="38">
        <v>18.48</v>
      </c>
      <c r="E17" s="42">
        <f t="shared" si="0"/>
        <v>384.42</v>
      </c>
      <c r="F17" s="243">
        <f t="shared" si="1"/>
        <v>38.027999999999992</v>
      </c>
      <c r="G17" s="166">
        <f t="shared" si="8"/>
        <v>38.027999999999992</v>
      </c>
      <c r="H17" s="243">
        <f t="shared" si="2"/>
        <v>38.027999999999992</v>
      </c>
      <c r="I17" s="42">
        <f t="shared" si="9"/>
        <v>38.027999999999992</v>
      </c>
      <c r="J17" s="167">
        <f t="shared" si="3"/>
        <v>38.027999999999992</v>
      </c>
      <c r="K17" s="42">
        <f t="shared" si="10"/>
        <v>38.027999999999992</v>
      </c>
      <c r="L17" s="167">
        <f t="shared" si="4"/>
        <v>125.92800000000001</v>
      </c>
      <c r="M17" s="42">
        <f t="shared" si="11"/>
        <v>125.92800000000001</v>
      </c>
      <c r="N17" s="243">
        <f t="shared" si="5"/>
        <v>125.92800000000001</v>
      </c>
      <c r="O17" s="166">
        <f t="shared" si="12"/>
        <v>125.92800000000001</v>
      </c>
      <c r="P17" s="243">
        <f t="shared" si="6"/>
        <v>18.48</v>
      </c>
      <c r="Q17" s="42">
        <f t="shared" si="13"/>
        <v>18.48</v>
      </c>
      <c r="R17" s="167">
        <f t="shared" si="7"/>
        <v>62.964000000000006</v>
      </c>
      <c r="S17" s="42">
        <f t="shared" si="14"/>
        <v>62.964000000000006</v>
      </c>
    </row>
    <row r="18" spans="1:19" x14ac:dyDescent="0.25">
      <c r="A18" s="232" t="s">
        <v>16</v>
      </c>
      <c r="B18" s="38">
        <v>63.38</v>
      </c>
      <c r="C18" s="38">
        <v>64.872</v>
      </c>
      <c r="D18" s="38">
        <v>41.58</v>
      </c>
      <c r="E18" s="42">
        <f t="shared" si="0"/>
        <v>169.83199999999999</v>
      </c>
      <c r="F18" s="243">
        <f t="shared" si="1"/>
        <v>21.126666666666665</v>
      </c>
      <c r="G18" s="166">
        <f t="shared" si="8"/>
        <v>21.126666666666665</v>
      </c>
      <c r="H18" s="243">
        <f t="shared" si="2"/>
        <v>21.126666666666665</v>
      </c>
      <c r="I18" s="42">
        <f t="shared" si="9"/>
        <v>21.126666666666665</v>
      </c>
      <c r="J18" s="167">
        <f t="shared" si="3"/>
        <v>21.126666666666665</v>
      </c>
      <c r="K18" s="42">
        <f t="shared" si="10"/>
        <v>21.126666666666665</v>
      </c>
      <c r="L18" s="167">
        <f t="shared" si="4"/>
        <v>32.436</v>
      </c>
      <c r="M18" s="42">
        <f t="shared" si="11"/>
        <v>32.436</v>
      </c>
      <c r="N18" s="243">
        <f t="shared" si="5"/>
        <v>32.436</v>
      </c>
      <c r="O18" s="166">
        <f t="shared" si="12"/>
        <v>32.436</v>
      </c>
      <c r="P18" s="243">
        <f t="shared" si="6"/>
        <v>41.58</v>
      </c>
      <c r="Q18" s="42">
        <f t="shared" si="13"/>
        <v>41.58</v>
      </c>
      <c r="R18" s="167">
        <f t="shared" si="7"/>
        <v>16.218</v>
      </c>
      <c r="S18" s="42">
        <f t="shared" si="14"/>
        <v>16.218</v>
      </c>
    </row>
    <row r="19" spans="1:19" x14ac:dyDescent="0.25">
      <c r="A19" s="232" t="s">
        <v>17</v>
      </c>
      <c r="B19" s="38">
        <v>76.055999999999997</v>
      </c>
      <c r="C19" s="38">
        <v>64.872</v>
      </c>
      <c r="D19" s="38">
        <v>32.340000000000003</v>
      </c>
      <c r="E19" s="42">
        <f t="shared" si="0"/>
        <v>173.268</v>
      </c>
      <c r="F19" s="243">
        <f t="shared" si="1"/>
        <v>25.351999999999997</v>
      </c>
      <c r="G19" s="166">
        <f t="shared" si="8"/>
        <v>25.351999999999997</v>
      </c>
      <c r="H19" s="243">
        <f t="shared" si="2"/>
        <v>25.351999999999997</v>
      </c>
      <c r="I19" s="42">
        <f t="shared" si="9"/>
        <v>25.351999999999997</v>
      </c>
      <c r="J19" s="167">
        <f t="shared" si="3"/>
        <v>25.351999999999997</v>
      </c>
      <c r="K19" s="42">
        <f t="shared" si="10"/>
        <v>25.351999999999997</v>
      </c>
      <c r="L19" s="167">
        <f t="shared" si="4"/>
        <v>32.436</v>
      </c>
      <c r="M19" s="42">
        <f t="shared" si="11"/>
        <v>32.436</v>
      </c>
      <c r="N19" s="243">
        <f t="shared" si="5"/>
        <v>32.436</v>
      </c>
      <c r="O19" s="166">
        <f t="shared" si="12"/>
        <v>32.436</v>
      </c>
      <c r="P19" s="243">
        <f t="shared" si="6"/>
        <v>32.340000000000003</v>
      </c>
      <c r="Q19" s="42">
        <f t="shared" si="13"/>
        <v>32.340000000000003</v>
      </c>
      <c r="R19" s="167">
        <f t="shared" si="7"/>
        <v>16.218</v>
      </c>
      <c r="S19" s="42">
        <f t="shared" si="14"/>
        <v>16.218</v>
      </c>
    </row>
    <row r="20" spans="1:19" x14ac:dyDescent="0.25">
      <c r="A20" s="232" t="s">
        <v>18</v>
      </c>
      <c r="B20" s="38">
        <v>50.704000000000001</v>
      </c>
      <c r="C20" s="38">
        <v>40.068000000000005</v>
      </c>
      <c r="D20" s="38">
        <v>7.7</v>
      </c>
      <c r="E20" s="42">
        <f t="shared" si="0"/>
        <v>98.472000000000008</v>
      </c>
      <c r="F20" s="243">
        <f t="shared" si="1"/>
        <v>16.901333333333334</v>
      </c>
      <c r="G20" s="166">
        <f t="shared" si="8"/>
        <v>16.901333333333334</v>
      </c>
      <c r="H20" s="243">
        <f t="shared" si="2"/>
        <v>16.901333333333334</v>
      </c>
      <c r="I20" s="42">
        <f t="shared" si="9"/>
        <v>16.901333333333334</v>
      </c>
      <c r="J20" s="167">
        <f t="shared" si="3"/>
        <v>16.901333333333334</v>
      </c>
      <c r="K20" s="42">
        <f t="shared" si="10"/>
        <v>16.901333333333334</v>
      </c>
      <c r="L20" s="167">
        <f t="shared" si="4"/>
        <v>20.034000000000002</v>
      </c>
      <c r="M20" s="42">
        <f t="shared" si="11"/>
        <v>20.034000000000002</v>
      </c>
      <c r="N20" s="243">
        <f t="shared" si="5"/>
        <v>20.034000000000002</v>
      </c>
      <c r="O20" s="166">
        <f t="shared" si="12"/>
        <v>20.034000000000002</v>
      </c>
      <c r="P20" s="243">
        <f t="shared" si="6"/>
        <v>7.7</v>
      </c>
      <c r="Q20" s="42">
        <f t="shared" si="13"/>
        <v>7.7</v>
      </c>
      <c r="R20" s="167">
        <f t="shared" si="7"/>
        <v>10.017000000000001</v>
      </c>
      <c r="S20" s="42">
        <f t="shared" si="14"/>
        <v>10.017000000000001</v>
      </c>
    </row>
    <row r="21" spans="1:19" x14ac:dyDescent="0.25">
      <c r="A21" s="232" t="s">
        <v>19</v>
      </c>
      <c r="B21" s="38">
        <v>63.38</v>
      </c>
      <c r="C21" s="38">
        <v>30.528000000000002</v>
      </c>
      <c r="D21" s="38">
        <v>7.7</v>
      </c>
      <c r="E21" s="42">
        <f t="shared" si="0"/>
        <v>101.608</v>
      </c>
      <c r="F21" s="243">
        <f t="shared" si="1"/>
        <v>21.126666666666665</v>
      </c>
      <c r="G21" s="166">
        <f t="shared" si="8"/>
        <v>21.126666666666665</v>
      </c>
      <c r="H21" s="243">
        <f t="shared" si="2"/>
        <v>21.126666666666665</v>
      </c>
      <c r="I21" s="42">
        <f t="shared" si="9"/>
        <v>21.126666666666665</v>
      </c>
      <c r="J21" s="167">
        <f t="shared" si="3"/>
        <v>21.126666666666665</v>
      </c>
      <c r="K21" s="42">
        <f t="shared" si="10"/>
        <v>21.126666666666665</v>
      </c>
      <c r="L21" s="167">
        <f t="shared" si="4"/>
        <v>15.264000000000001</v>
      </c>
      <c r="M21" s="42">
        <f t="shared" si="11"/>
        <v>15.264000000000001</v>
      </c>
      <c r="N21" s="243">
        <f t="shared" si="5"/>
        <v>15.264000000000001</v>
      </c>
      <c r="O21" s="166">
        <f t="shared" si="12"/>
        <v>15.264000000000001</v>
      </c>
      <c r="P21" s="243">
        <f t="shared" si="6"/>
        <v>7.7</v>
      </c>
      <c r="Q21" s="42">
        <f t="shared" si="13"/>
        <v>7.7</v>
      </c>
      <c r="R21" s="167">
        <f t="shared" si="7"/>
        <v>7.6320000000000006</v>
      </c>
      <c r="S21" s="42">
        <f t="shared" si="14"/>
        <v>7.6320000000000006</v>
      </c>
    </row>
    <row r="22" spans="1:19" x14ac:dyDescent="0.25">
      <c r="A22" s="232" t="s">
        <v>29</v>
      </c>
      <c r="B22" s="38">
        <f>SUM(B8:B21)</f>
        <v>2776.0440000000003</v>
      </c>
      <c r="C22" s="38">
        <f t="shared" ref="C22:D22" si="15">SUM(C8:C21)</f>
        <v>1776.3480000000002</v>
      </c>
      <c r="D22" s="38">
        <f t="shared" si="15"/>
        <v>1179.6399999999999</v>
      </c>
      <c r="E22" s="42">
        <f t="shared" si="0"/>
        <v>5732.0320000000011</v>
      </c>
      <c r="F22" s="243">
        <f t="shared" si="1"/>
        <v>925.34800000000007</v>
      </c>
      <c r="G22" s="166">
        <f t="shared" si="8"/>
        <v>925.34800000000007</v>
      </c>
      <c r="H22" s="243">
        <f t="shared" si="2"/>
        <v>925.34800000000007</v>
      </c>
      <c r="I22" s="42">
        <f t="shared" si="9"/>
        <v>925.34800000000007</v>
      </c>
      <c r="J22" s="167">
        <f t="shared" si="3"/>
        <v>925.34800000000007</v>
      </c>
      <c r="K22" s="42">
        <f t="shared" si="10"/>
        <v>925.34800000000007</v>
      </c>
      <c r="L22" s="167">
        <f t="shared" si="4"/>
        <v>888.17400000000009</v>
      </c>
      <c r="M22" s="42">
        <f t="shared" si="11"/>
        <v>888.17400000000009</v>
      </c>
      <c r="N22" s="243">
        <f t="shared" si="5"/>
        <v>888.17400000000009</v>
      </c>
      <c r="O22" s="166">
        <f t="shared" si="12"/>
        <v>888.17400000000009</v>
      </c>
      <c r="P22" s="243">
        <f t="shared" si="6"/>
        <v>1179.6399999999999</v>
      </c>
      <c r="Q22" s="42">
        <f t="shared" si="13"/>
        <v>1179.6399999999999</v>
      </c>
      <c r="R22" s="167">
        <f t="shared" si="7"/>
        <v>444.08700000000005</v>
      </c>
      <c r="S22" s="42">
        <f t="shared" si="14"/>
        <v>444.08700000000005</v>
      </c>
    </row>
    <row r="23" spans="1:19" x14ac:dyDescent="0.25">
      <c r="A23" s="232" t="s">
        <v>21</v>
      </c>
      <c r="B23" s="38">
        <v>1600</v>
      </c>
      <c r="C23" s="38">
        <v>1124</v>
      </c>
      <c r="D23" s="38">
        <v>668</v>
      </c>
      <c r="E23" s="42">
        <f t="shared" si="0"/>
        <v>3392</v>
      </c>
      <c r="F23" s="243">
        <f t="shared" si="1"/>
        <v>533.33333333333326</v>
      </c>
      <c r="G23" s="166">
        <f t="shared" si="8"/>
        <v>533.33333333333326</v>
      </c>
      <c r="H23" s="243">
        <f t="shared" si="2"/>
        <v>533.33333333333326</v>
      </c>
      <c r="I23" s="42">
        <f t="shared" si="9"/>
        <v>533.33333333333326</v>
      </c>
      <c r="J23" s="167">
        <f t="shared" si="3"/>
        <v>533.33333333333326</v>
      </c>
      <c r="K23" s="42">
        <f t="shared" si="10"/>
        <v>533.33333333333326</v>
      </c>
      <c r="L23" s="167">
        <f t="shared" si="4"/>
        <v>562</v>
      </c>
      <c r="M23" s="42">
        <f t="shared" si="11"/>
        <v>562</v>
      </c>
      <c r="N23" s="243">
        <f t="shared" si="5"/>
        <v>562</v>
      </c>
      <c r="O23" s="166">
        <f t="shared" si="12"/>
        <v>562</v>
      </c>
      <c r="P23" s="243">
        <f t="shared" si="6"/>
        <v>668</v>
      </c>
      <c r="Q23" s="42">
        <f t="shared" si="13"/>
        <v>668</v>
      </c>
      <c r="R23" s="167">
        <f t="shared" si="7"/>
        <v>281</v>
      </c>
      <c r="S23" s="42">
        <f t="shared" si="14"/>
        <v>281</v>
      </c>
    </row>
    <row r="24" spans="1:19" x14ac:dyDescent="0.25">
      <c r="A24" s="232" t="s">
        <v>22</v>
      </c>
      <c r="B24" s="38">
        <v>1569</v>
      </c>
      <c r="C24" s="38">
        <v>784</v>
      </c>
      <c r="D24" s="38">
        <v>872</v>
      </c>
      <c r="E24" s="42">
        <f t="shared" si="0"/>
        <v>3225</v>
      </c>
      <c r="F24" s="243">
        <f t="shared" si="1"/>
        <v>523</v>
      </c>
      <c r="G24" s="166">
        <f t="shared" si="8"/>
        <v>523</v>
      </c>
      <c r="H24" s="243">
        <f t="shared" si="2"/>
        <v>523</v>
      </c>
      <c r="I24" s="42">
        <f t="shared" si="9"/>
        <v>523</v>
      </c>
      <c r="J24" s="167">
        <f t="shared" si="3"/>
        <v>523</v>
      </c>
      <c r="K24" s="42">
        <f t="shared" si="10"/>
        <v>523</v>
      </c>
      <c r="L24" s="167">
        <f t="shared" si="4"/>
        <v>392</v>
      </c>
      <c r="M24" s="42">
        <f t="shared" si="11"/>
        <v>392</v>
      </c>
      <c r="N24" s="243">
        <f t="shared" si="5"/>
        <v>392</v>
      </c>
      <c r="O24" s="166">
        <f t="shared" si="12"/>
        <v>392</v>
      </c>
      <c r="P24" s="243">
        <f t="shared" si="6"/>
        <v>872</v>
      </c>
      <c r="Q24" s="42">
        <f t="shared" si="13"/>
        <v>872</v>
      </c>
      <c r="R24" s="167">
        <f t="shared" si="7"/>
        <v>196</v>
      </c>
      <c r="S24" s="42">
        <f t="shared" si="14"/>
        <v>196</v>
      </c>
    </row>
    <row r="25" spans="1:19" x14ac:dyDescent="0.25">
      <c r="A25" s="232" t="s">
        <v>507</v>
      </c>
      <c r="B25" s="38">
        <v>2417</v>
      </c>
      <c r="C25" s="38">
        <v>1449</v>
      </c>
      <c r="D25" s="38">
        <v>1000</v>
      </c>
      <c r="E25" s="42">
        <f t="shared" si="0"/>
        <v>4866</v>
      </c>
      <c r="F25" s="243">
        <f t="shared" si="1"/>
        <v>805.66666666666663</v>
      </c>
      <c r="G25" s="166">
        <f t="shared" si="8"/>
        <v>805.66666666666663</v>
      </c>
      <c r="H25" s="243">
        <f t="shared" si="2"/>
        <v>805.66666666666663</v>
      </c>
      <c r="I25" s="42">
        <f t="shared" si="9"/>
        <v>805.66666666666663</v>
      </c>
      <c r="J25" s="167">
        <f t="shared" si="3"/>
        <v>805.66666666666663</v>
      </c>
      <c r="K25" s="42">
        <f t="shared" si="10"/>
        <v>805.66666666666663</v>
      </c>
      <c r="L25" s="167">
        <f t="shared" si="4"/>
        <v>724.5</v>
      </c>
      <c r="M25" s="42">
        <f t="shared" si="11"/>
        <v>724.5</v>
      </c>
      <c r="N25" s="243">
        <f t="shared" si="5"/>
        <v>724.5</v>
      </c>
      <c r="O25" s="166">
        <f t="shared" si="12"/>
        <v>724.5</v>
      </c>
      <c r="P25" s="243">
        <f t="shared" si="6"/>
        <v>1000</v>
      </c>
      <c r="Q25" s="42">
        <f t="shared" si="13"/>
        <v>1000</v>
      </c>
      <c r="R25" s="167">
        <f t="shared" si="7"/>
        <v>362.25</v>
      </c>
      <c r="S25" s="42">
        <f t="shared" si="14"/>
        <v>362.25</v>
      </c>
    </row>
    <row r="26" spans="1:19" x14ac:dyDescent="0.25">
      <c r="A26" s="232" t="s">
        <v>30</v>
      </c>
      <c r="B26" s="38">
        <v>752</v>
      </c>
      <c r="C26" s="38">
        <v>752</v>
      </c>
      <c r="D26" s="38">
        <v>752</v>
      </c>
      <c r="E26" s="42">
        <f t="shared" si="0"/>
        <v>2256</v>
      </c>
      <c r="F26" s="243">
        <f t="shared" si="1"/>
        <v>250.66666666666666</v>
      </c>
      <c r="G26" s="166">
        <f t="shared" si="8"/>
        <v>250.66666666666666</v>
      </c>
      <c r="H26" s="243">
        <f t="shared" si="2"/>
        <v>250.66666666666666</v>
      </c>
      <c r="I26" s="42">
        <f t="shared" si="9"/>
        <v>250.66666666666666</v>
      </c>
      <c r="J26" s="167">
        <f t="shared" si="3"/>
        <v>250.66666666666666</v>
      </c>
      <c r="K26" s="42">
        <f t="shared" si="10"/>
        <v>250.66666666666666</v>
      </c>
      <c r="L26" s="167">
        <f t="shared" si="4"/>
        <v>376</v>
      </c>
      <c r="M26" s="42">
        <f t="shared" si="11"/>
        <v>376</v>
      </c>
      <c r="N26" s="243">
        <f t="shared" si="5"/>
        <v>376</v>
      </c>
      <c r="O26" s="166">
        <f t="shared" si="12"/>
        <v>376</v>
      </c>
      <c r="P26" s="243">
        <f t="shared" si="6"/>
        <v>752</v>
      </c>
      <c r="Q26" s="42">
        <f t="shared" si="13"/>
        <v>752</v>
      </c>
      <c r="R26" s="167">
        <f t="shared" si="7"/>
        <v>188</v>
      </c>
      <c r="S26" s="42">
        <f t="shared" si="14"/>
        <v>188</v>
      </c>
    </row>
    <row r="27" spans="1:19" x14ac:dyDescent="0.25">
      <c r="A27" s="232" t="s">
        <v>24</v>
      </c>
      <c r="B27" s="38">
        <v>36</v>
      </c>
      <c r="C27" s="38">
        <v>68</v>
      </c>
      <c r="D27" s="38">
        <v>101</v>
      </c>
      <c r="E27" s="42">
        <f t="shared" si="0"/>
        <v>205</v>
      </c>
      <c r="F27" s="243">
        <f t="shared" si="1"/>
        <v>12</v>
      </c>
      <c r="G27" s="166">
        <f t="shared" si="8"/>
        <v>12</v>
      </c>
      <c r="H27" s="243">
        <f t="shared" si="2"/>
        <v>12</v>
      </c>
      <c r="I27" s="42">
        <f t="shared" si="9"/>
        <v>12</v>
      </c>
      <c r="J27" s="167">
        <f t="shared" si="3"/>
        <v>12</v>
      </c>
      <c r="K27" s="42">
        <f t="shared" si="10"/>
        <v>12</v>
      </c>
      <c r="L27" s="167">
        <f t="shared" si="4"/>
        <v>34</v>
      </c>
      <c r="M27" s="42">
        <f t="shared" si="11"/>
        <v>34</v>
      </c>
      <c r="N27" s="243">
        <f t="shared" si="5"/>
        <v>34</v>
      </c>
      <c r="O27" s="166">
        <f t="shared" si="12"/>
        <v>34</v>
      </c>
      <c r="P27" s="243">
        <f t="shared" si="6"/>
        <v>101</v>
      </c>
      <c r="Q27" s="42">
        <f t="shared" si="13"/>
        <v>101</v>
      </c>
      <c r="R27" s="167">
        <f t="shared" si="7"/>
        <v>17</v>
      </c>
      <c r="S27" s="42">
        <f t="shared" si="14"/>
        <v>17</v>
      </c>
    </row>
    <row r="28" spans="1:19" x14ac:dyDescent="0.25">
      <c r="A28" s="232" t="s">
        <v>508</v>
      </c>
      <c r="B28" s="38">
        <v>1956</v>
      </c>
      <c r="C28" s="38">
        <v>1117</v>
      </c>
      <c r="D28" s="38">
        <v>678</v>
      </c>
      <c r="E28" s="42">
        <f t="shared" si="0"/>
        <v>3751</v>
      </c>
      <c r="F28" s="243">
        <f t="shared" si="1"/>
        <v>652</v>
      </c>
      <c r="G28" s="166">
        <f t="shared" si="8"/>
        <v>652</v>
      </c>
      <c r="H28" s="243">
        <f t="shared" si="2"/>
        <v>652</v>
      </c>
      <c r="I28" s="42">
        <f t="shared" si="9"/>
        <v>652</v>
      </c>
      <c r="J28" s="167">
        <f t="shared" si="3"/>
        <v>652</v>
      </c>
      <c r="K28" s="42">
        <f t="shared" si="10"/>
        <v>652</v>
      </c>
      <c r="L28" s="167">
        <f t="shared" si="4"/>
        <v>558.5</v>
      </c>
      <c r="M28" s="42">
        <f t="shared" si="11"/>
        <v>558.5</v>
      </c>
      <c r="N28" s="243">
        <f t="shared" si="5"/>
        <v>558.5</v>
      </c>
      <c r="O28" s="166">
        <f t="shared" si="12"/>
        <v>558.5</v>
      </c>
      <c r="P28" s="243">
        <f t="shared" si="6"/>
        <v>678</v>
      </c>
      <c r="Q28" s="42">
        <f t="shared" si="13"/>
        <v>678</v>
      </c>
      <c r="R28" s="167">
        <f t="shared" si="7"/>
        <v>279.25</v>
      </c>
      <c r="S28" s="42">
        <f t="shared" si="14"/>
        <v>279.25</v>
      </c>
    </row>
    <row r="29" spans="1:19" x14ac:dyDescent="0.25">
      <c r="A29" s="232" t="s">
        <v>25</v>
      </c>
      <c r="B29" s="38">
        <v>1.56</v>
      </c>
      <c r="C29" s="38">
        <v>1.64</v>
      </c>
      <c r="D29" s="38">
        <v>2.27</v>
      </c>
      <c r="E29" s="230">
        <f t="shared" si="0"/>
        <v>5.4700000000000006</v>
      </c>
      <c r="F29" s="244">
        <f t="shared" si="1"/>
        <v>0.52</v>
      </c>
      <c r="G29" s="166">
        <f t="shared" si="8"/>
        <v>0.52</v>
      </c>
      <c r="H29" s="244">
        <f t="shared" si="2"/>
        <v>0.52</v>
      </c>
      <c r="I29" s="42">
        <f t="shared" si="9"/>
        <v>0.52</v>
      </c>
      <c r="J29" s="253">
        <f t="shared" si="3"/>
        <v>0.52</v>
      </c>
      <c r="K29" s="42">
        <f t="shared" si="10"/>
        <v>0.52</v>
      </c>
      <c r="L29" s="253">
        <f t="shared" si="4"/>
        <v>0.82</v>
      </c>
      <c r="M29" s="42">
        <f t="shared" si="11"/>
        <v>0.82</v>
      </c>
      <c r="N29" s="244">
        <f t="shared" si="5"/>
        <v>0.82</v>
      </c>
      <c r="O29" s="166">
        <f t="shared" si="12"/>
        <v>0.82</v>
      </c>
      <c r="P29" s="244">
        <f t="shared" si="6"/>
        <v>2.27</v>
      </c>
      <c r="Q29" s="42">
        <f t="shared" si="13"/>
        <v>2.27</v>
      </c>
      <c r="R29" s="253">
        <f t="shared" si="7"/>
        <v>0.41</v>
      </c>
      <c r="S29" s="42">
        <f t="shared" si="14"/>
        <v>0.41</v>
      </c>
    </row>
    <row r="30" spans="1:19" x14ac:dyDescent="0.25">
      <c r="A30" s="232" t="s">
        <v>509</v>
      </c>
      <c r="B30" s="38">
        <v>303</v>
      </c>
      <c r="C30" s="38">
        <v>181</v>
      </c>
      <c r="D30" s="38">
        <v>324</v>
      </c>
      <c r="E30" s="230">
        <f t="shared" si="0"/>
        <v>808</v>
      </c>
      <c r="F30" s="244">
        <f t="shared" si="1"/>
        <v>101</v>
      </c>
      <c r="G30" s="166">
        <f t="shared" si="8"/>
        <v>101</v>
      </c>
      <c r="H30" s="244">
        <f t="shared" si="2"/>
        <v>101</v>
      </c>
      <c r="I30" s="42">
        <f t="shared" si="9"/>
        <v>101</v>
      </c>
      <c r="J30" s="253">
        <f t="shared" si="3"/>
        <v>101</v>
      </c>
      <c r="K30" s="42">
        <f t="shared" si="10"/>
        <v>101</v>
      </c>
      <c r="L30" s="253">
        <f t="shared" si="4"/>
        <v>90.5</v>
      </c>
      <c r="M30" s="42">
        <f t="shared" si="11"/>
        <v>90.5</v>
      </c>
      <c r="N30" s="244">
        <f t="shared" si="5"/>
        <v>90.5</v>
      </c>
      <c r="O30" s="166">
        <f t="shared" si="12"/>
        <v>90.5</v>
      </c>
      <c r="P30" s="244">
        <f t="shared" si="6"/>
        <v>324</v>
      </c>
      <c r="Q30" s="42">
        <f t="shared" si="13"/>
        <v>324</v>
      </c>
      <c r="R30" s="253">
        <f t="shared" si="7"/>
        <v>45.25</v>
      </c>
      <c r="S30" s="42">
        <f t="shared" si="14"/>
        <v>45.25</v>
      </c>
    </row>
    <row r="31" spans="1:19" x14ac:dyDescent="0.25">
      <c r="A31" s="232" t="s">
        <v>26</v>
      </c>
      <c r="B31" s="38">
        <v>2.86</v>
      </c>
      <c r="C31" s="38">
        <v>2.69</v>
      </c>
      <c r="D31" s="38">
        <v>3.15</v>
      </c>
      <c r="E31" s="230">
        <f t="shared" si="0"/>
        <v>8.6999999999999993</v>
      </c>
      <c r="F31" s="244">
        <f t="shared" si="1"/>
        <v>0.95333333333333325</v>
      </c>
      <c r="G31" s="166">
        <f t="shared" si="8"/>
        <v>0.95333333333333325</v>
      </c>
      <c r="H31" s="244">
        <f t="shared" si="2"/>
        <v>0.95333333333333325</v>
      </c>
      <c r="I31" s="42">
        <f t="shared" si="9"/>
        <v>0.95333333333333325</v>
      </c>
      <c r="J31" s="253">
        <f t="shared" si="3"/>
        <v>0.95333333333333325</v>
      </c>
      <c r="K31" s="42">
        <f t="shared" si="10"/>
        <v>0.95333333333333325</v>
      </c>
      <c r="L31" s="253">
        <f t="shared" si="4"/>
        <v>1.345</v>
      </c>
      <c r="M31" s="42">
        <f t="shared" si="11"/>
        <v>1.345</v>
      </c>
      <c r="N31" s="244">
        <f t="shared" si="5"/>
        <v>1.345</v>
      </c>
      <c r="O31" s="166">
        <f t="shared" si="12"/>
        <v>1.345</v>
      </c>
      <c r="P31" s="244">
        <f t="shared" si="6"/>
        <v>3.15</v>
      </c>
      <c r="Q31" s="42">
        <f t="shared" si="13"/>
        <v>3.15</v>
      </c>
      <c r="R31" s="253">
        <f t="shared" si="7"/>
        <v>0.67249999999999999</v>
      </c>
      <c r="S31" s="42">
        <f t="shared" si="14"/>
        <v>0.67249999999999999</v>
      </c>
    </row>
    <row r="32" spans="1:19" x14ac:dyDescent="0.25">
      <c r="A32" s="232" t="s">
        <v>23</v>
      </c>
      <c r="B32" s="38">
        <v>2201</v>
      </c>
      <c r="C32" s="38">
        <v>1253</v>
      </c>
      <c r="D32" s="38">
        <v>755</v>
      </c>
      <c r="E32" s="230">
        <f t="shared" si="0"/>
        <v>4209</v>
      </c>
      <c r="F32" s="244">
        <f t="shared" si="1"/>
        <v>733.66666666666663</v>
      </c>
      <c r="G32" s="166">
        <f t="shared" si="8"/>
        <v>733.66666666666663</v>
      </c>
      <c r="H32" s="244">
        <f t="shared" si="2"/>
        <v>733.66666666666663</v>
      </c>
      <c r="I32" s="42">
        <f t="shared" si="9"/>
        <v>733.66666666666663</v>
      </c>
      <c r="J32" s="253">
        <f t="shared" si="3"/>
        <v>733.66666666666663</v>
      </c>
      <c r="K32" s="42">
        <f t="shared" si="10"/>
        <v>733.66666666666663</v>
      </c>
      <c r="L32" s="253">
        <f t="shared" si="4"/>
        <v>626.5</v>
      </c>
      <c r="M32" s="42">
        <f t="shared" si="11"/>
        <v>626.5</v>
      </c>
      <c r="N32" s="244">
        <f t="shared" si="5"/>
        <v>626.5</v>
      </c>
      <c r="O32" s="166">
        <f t="shared" si="12"/>
        <v>626.5</v>
      </c>
      <c r="P32" s="244">
        <f t="shared" si="6"/>
        <v>755</v>
      </c>
      <c r="Q32" s="42">
        <f t="shared" si="13"/>
        <v>755</v>
      </c>
      <c r="R32" s="253">
        <f t="shared" si="7"/>
        <v>313.25</v>
      </c>
      <c r="S32" s="42">
        <f t="shared" si="14"/>
        <v>313.25</v>
      </c>
    </row>
    <row r="33" spans="1:19" x14ac:dyDescent="0.25">
      <c r="A33" s="232" t="s">
        <v>27</v>
      </c>
      <c r="B33" s="38">
        <v>1956</v>
      </c>
      <c r="C33" s="38">
        <v>1117</v>
      </c>
      <c r="D33" s="38">
        <v>678</v>
      </c>
      <c r="E33" s="230">
        <f t="shared" si="0"/>
        <v>3751</v>
      </c>
      <c r="F33" s="244">
        <f t="shared" si="1"/>
        <v>652</v>
      </c>
      <c r="G33" s="166">
        <f t="shared" si="8"/>
        <v>652</v>
      </c>
      <c r="H33" s="244">
        <f t="shared" si="2"/>
        <v>652</v>
      </c>
      <c r="I33" s="42">
        <f t="shared" si="9"/>
        <v>652</v>
      </c>
      <c r="J33" s="253">
        <f t="shared" si="3"/>
        <v>652</v>
      </c>
      <c r="K33" s="42">
        <f t="shared" si="10"/>
        <v>652</v>
      </c>
      <c r="L33" s="253">
        <f t="shared" si="4"/>
        <v>558.5</v>
      </c>
      <c r="M33" s="42">
        <f t="shared" si="11"/>
        <v>558.5</v>
      </c>
      <c r="N33" s="244">
        <f t="shared" si="5"/>
        <v>558.5</v>
      </c>
      <c r="O33" s="166">
        <f t="shared" si="12"/>
        <v>558.5</v>
      </c>
      <c r="P33" s="244">
        <f t="shared" si="6"/>
        <v>678</v>
      </c>
      <c r="Q33" s="42">
        <f t="shared" si="13"/>
        <v>678</v>
      </c>
      <c r="R33" s="253">
        <f t="shared" si="7"/>
        <v>279.25</v>
      </c>
      <c r="S33" s="42">
        <f t="shared" si="14"/>
        <v>279.25</v>
      </c>
    </row>
    <row r="34" spans="1:19" x14ac:dyDescent="0.25">
      <c r="A34" s="232" t="s">
        <v>28</v>
      </c>
      <c r="B34" s="38">
        <v>245</v>
      </c>
      <c r="C34" s="38">
        <v>136</v>
      </c>
      <c r="D34" s="38">
        <v>77</v>
      </c>
      <c r="E34" s="42">
        <f t="shared" si="0"/>
        <v>458</v>
      </c>
      <c r="F34" s="243">
        <f t="shared" si="1"/>
        <v>81.666666666666657</v>
      </c>
      <c r="G34" s="166">
        <f t="shared" si="8"/>
        <v>81.666666666666657</v>
      </c>
      <c r="H34" s="243">
        <f t="shared" si="2"/>
        <v>81.666666666666657</v>
      </c>
      <c r="I34" s="42">
        <f t="shared" si="9"/>
        <v>81.666666666666657</v>
      </c>
      <c r="J34" s="167">
        <f t="shared" si="3"/>
        <v>81.666666666666657</v>
      </c>
      <c r="K34" s="42">
        <f t="shared" si="10"/>
        <v>81.666666666666657</v>
      </c>
      <c r="L34" s="167">
        <f t="shared" si="4"/>
        <v>68</v>
      </c>
      <c r="M34" s="42">
        <f t="shared" si="11"/>
        <v>68</v>
      </c>
      <c r="N34" s="243">
        <f t="shared" si="5"/>
        <v>68</v>
      </c>
      <c r="O34" s="166">
        <f t="shared" si="12"/>
        <v>68</v>
      </c>
      <c r="P34" s="243">
        <f t="shared" si="6"/>
        <v>77</v>
      </c>
      <c r="Q34" s="42">
        <f t="shared" si="13"/>
        <v>77</v>
      </c>
      <c r="R34" s="167">
        <f t="shared" si="7"/>
        <v>34</v>
      </c>
      <c r="S34" s="42">
        <f t="shared" si="14"/>
        <v>34</v>
      </c>
    </row>
    <row r="35" spans="1:19" x14ac:dyDescent="0.25">
      <c r="A35" s="232" t="s">
        <v>670</v>
      </c>
      <c r="B35" s="38">
        <v>188300</v>
      </c>
      <c r="C35" s="38">
        <v>248600</v>
      </c>
      <c r="D35" s="38">
        <v>74600</v>
      </c>
      <c r="E35" s="42">
        <f>((B35*$B$32)+(C35*$C$32)+(D35*$D$32))/$E$32</f>
        <v>185855.80898075554</v>
      </c>
      <c r="F35" s="243">
        <f t="shared" ref="F35" si="16">B35</f>
        <v>188300</v>
      </c>
      <c r="G35" s="166">
        <f>F35</f>
        <v>188300</v>
      </c>
      <c r="H35" s="243">
        <f t="shared" ref="H35" si="17">B35</f>
        <v>188300</v>
      </c>
      <c r="I35" s="42">
        <f t="shared" ref="I35" si="18">H35</f>
        <v>188300</v>
      </c>
      <c r="J35" s="167">
        <f t="shared" ref="J35" si="19">B35</f>
        <v>188300</v>
      </c>
      <c r="K35" s="42">
        <f t="shared" ref="K35" si="20">J35</f>
        <v>188300</v>
      </c>
      <c r="L35" s="167">
        <f t="shared" ref="L35" si="21">C35</f>
        <v>248600</v>
      </c>
      <c r="M35" s="42">
        <f t="shared" ref="M35" si="22">L35</f>
        <v>248600</v>
      </c>
      <c r="N35" s="243">
        <f t="shared" ref="N35" si="23">C35</f>
        <v>248600</v>
      </c>
      <c r="O35" s="166">
        <f t="shared" ref="O35" si="24">N35</f>
        <v>248600</v>
      </c>
      <c r="P35" s="243">
        <f t="shared" si="6"/>
        <v>74600</v>
      </c>
      <c r="Q35" s="42">
        <f t="shared" ref="Q35" si="25">P35</f>
        <v>74600</v>
      </c>
      <c r="R35" s="167">
        <f t="shared" ref="R35" si="26">C35</f>
        <v>248600</v>
      </c>
      <c r="S35" s="42">
        <f t="shared" ref="S35" si="27">R35</f>
        <v>248600</v>
      </c>
    </row>
    <row r="36" spans="1:19" x14ac:dyDescent="0.25">
      <c r="A36" s="192" t="s">
        <v>46</v>
      </c>
      <c r="B36" s="38">
        <v>1733</v>
      </c>
      <c r="C36" s="38">
        <v>1016</v>
      </c>
      <c r="D36" s="38">
        <v>721</v>
      </c>
      <c r="E36" s="42">
        <f t="shared" si="0"/>
        <v>3470</v>
      </c>
      <c r="F36" s="243">
        <f t="shared" si="1"/>
        <v>577.66666666666663</v>
      </c>
      <c r="G36" s="166">
        <f t="shared" si="8"/>
        <v>577.66666666666663</v>
      </c>
      <c r="H36" s="243">
        <f t="shared" si="2"/>
        <v>577.66666666666663</v>
      </c>
      <c r="I36" s="42">
        <f t="shared" si="9"/>
        <v>577.66666666666663</v>
      </c>
      <c r="J36" s="167">
        <f t="shared" si="3"/>
        <v>577.66666666666663</v>
      </c>
      <c r="K36" s="42">
        <f t="shared" si="10"/>
        <v>577.66666666666663</v>
      </c>
      <c r="L36" s="167">
        <f t="shared" si="4"/>
        <v>508</v>
      </c>
      <c r="M36" s="42">
        <f t="shared" si="11"/>
        <v>508</v>
      </c>
      <c r="N36" s="243">
        <f t="shared" si="5"/>
        <v>508</v>
      </c>
      <c r="O36" s="166">
        <f t="shared" si="12"/>
        <v>508</v>
      </c>
      <c r="P36" s="243">
        <f t="shared" si="6"/>
        <v>721</v>
      </c>
      <c r="Q36" s="42">
        <f t="shared" si="13"/>
        <v>721</v>
      </c>
      <c r="R36" s="167">
        <f t="shared" si="7"/>
        <v>254</v>
      </c>
      <c r="S36" s="42">
        <f t="shared" si="14"/>
        <v>254</v>
      </c>
    </row>
    <row r="37" spans="1:19" ht="15" customHeight="1" x14ac:dyDescent="0.25">
      <c r="A37" s="192" t="s">
        <v>424</v>
      </c>
      <c r="B37" s="38"/>
      <c r="C37" s="38"/>
      <c r="D37" s="38"/>
      <c r="E37" s="42"/>
      <c r="F37" s="243"/>
      <c r="G37" s="237"/>
      <c r="H37" s="243"/>
      <c r="I37" s="43"/>
      <c r="J37" s="167"/>
      <c r="K37" s="43"/>
      <c r="L37" s="167"/>
      <c r="M37" s="43"/>
      <c r="N37" s="243"/>
      <c r="O37" s="237"/>
      <c r="P37" s="243"/>
      <c r="Q37" s="43"/>
      <c r="R37" s="167"/>
      <c r="S37" s="43"/>
    </row>
    <row r="38" spans="1:19" x14ac:dyDescent="0.25">
      <c r="A38" s="192" t="s">
        <v>425</v>
      </c>
      <c r="B38" s="35">
        <v>0.63</v>
      </c>
      <c r="C38" s="35">
        <v>0.67500000000000004</v>
      </c>
      <c r="D38" s="35">
        <v>0.81399999999999995</v>
      </c>
      <c r="E38" s="198">
        <f>((B38*$B$36)+(C38*$C$36)+(D38*$D$36))/$E$36</f>
        <v>0.68140749279538915</v>
      </c>
      <c r="F38" s="245">
        <f t="shared" ref="F38:F49" si="28">B38</f>
        <v>0.63</v>
      </c>
      <c r="G38" s="238">
        <f t="shared" si="8"/>
        <v>0.63</v>
      </c>
      <c r="H38" s="245">
        <f t="shared" ref="H38:H49" si="29">B38</f>
        <v>0.63</v>
      </c>
      <c r="I38" s="195">
        <f t="shared" si="9"/>
        <v>0.63</v>
      </c>
      <c r="J38" s="254">
        <f t="shared" ref="J38:J49" si="30">B38</f>
        <v>0.63</v>
      </c>
      <c r="K38" s="195">
        <f t="shared" si="10"/>
        <v>0.63</v>
      </c>
      <c r="L38" s="254">
        <f t="shared" ref="L38:L49" si="31">C38</f>
        <v>0.67500000000000004</v>
      </c>
      <c r="M38" s="195">
        <f t="shared" si="11"/>
        <v>0.67500000000000004</v>
      </c>
      <c r="N38" s="245">
        <f t="shared" ref="N38:N49" si="32">C38</f>
        <v>0.67500000000000004</v>
      </c>
      <c r="O38" s="238">
        <f t="shared" si="12"/>
        <v>0.67500000000000004</v>
      </c>
      <c r="P38" s="245">
        <f t="shared" ref="P38:P49" si="33">D38</f>
        <v>0.81399999999999995</v>
      </c>
      <c r="Q38" s="195">
        <f t="shared" si="13"/>
        <v>0.81399999999999995</v>
      </c>
      <c r="R38" s="254">
        <f t="shared" ref="R38:R49" si="34">C38</f>
        <v>0.67500000000000004</v>
      </c>
      <c r="S38" s="195">
        <f t="shared" si="14"/>
        <v>0.67500000000000004</v>
      </c>
    </row>
    <row r="39" spans="1:19" x14ac:dyDescent="0.25">
      <c r="A39" s="192" t="s">
        <v>33</v>
      </c>
      <c r="B39" s="35">
        <v>0.55800000000000005</v>
      </c>
      <c r="C39" s="35">
        <v>0.57499999999999996</v>
      </c>
      <c r="D39" s="35">
        <v>0.76300000000000001</v>
      </c>
      <c r="E39" s="198">
        <f t="shared" ref="E39:E60" si="35">((B39*$B$36)+(C39*$C$36)+(D39*$D$36))/$E$36</f>
        <v>0.60557262247838617</v>
      </c>
      <c r="F39" s="245">
        <f t="shared" si="28"/>
        <v>0.55800000000000005</v>
      </c>
      <c r="G39" s="238">
        <f t="shared" si="8"/>
        <v>0.55800000000000005</v>
      </c>
      <c r="H39" s="245">
        <f t="shared" si="29"/>
        <v>0.55800000000000005</v>
      </c>
      <c r="I39" s="195">
        <f t="shared" si="9"/>
        <v>0.55800000000000005</v>
      </c>
      <c r="J39" s="254">
        <f t="shared" si="30"/>
        <v>0.55800000000000005</v>
      </c>
      <c r="K39" s="195">
        <f t="shared" si="10"/>
        <v>0.55800000000000005</v>
      </c>
      <c r="L39" s="254">
        <f t="shared" si="31"/>
        <v>0.57499999999999996</v>
      </c>
      <c r="M39" s="195">
        <f t="shared" si="11"/>
        <v>0.57499999999999996</v>
      </c>
      <c r="N39" s="245">
        <f t="shared" si="32"/>
        <v>0.57499999999999996</v>
      </c>
      <c r="O39" s="238">
        <f t="shared" si="12"/>
        <v>0.57499999999999996</v>
      </c>
      <c r="P39" s="245">
        <f t="shared" si="33"/>
        <v>0.76300000000000001</v>
      </c>
      <c r="Q39" s="195">
        <f t="shared" si="13"/>
        <v>0.76300000000000001</v>
      </c>
      <c r="R39" s="254">
        <f t="shared" si="34"/>
        <v>0.57499999999999996</v>
      </c>
      <c r="S39" s="195">
        <f t="shared" si="14"/>
        <v>0.57499999999999996</v>
      </c>
    </row>
    <row r="40" spans="1:19" x14ac:dyDescent="0.25">
      <c r="A40" s="192" t="s">
        <v>426</v>
      </c>
      <c r="B40" s="35">
        <v>7.1999999999999995E-2</v>
      </c>
      <c r="C40" s="35">
        <v>0.1</v>
      </c>
      <c r="D40" s="35">
        <v>5.0999999999999997E-2</v>
      </c>
      <c r="E40" s="198">
        <f t="shared" si="35"/>
        <v>7.5834870317002881E-2</v>
      </c>
      <c r="F40" s="245">
        <f t="shared" si="28"/>
        <v>7.1999999999999995E-2</v>
      </c>
      <c r="G40" s="238">
        <f t="shared" si="8"/>
        <v>7.1999999999999995E-2</v>
      </c>
      <c r="H40" s="245">
        <f t="shared" si="29"/>
        <v>7.1999999999999995E-2</v>
      </c>
      <c r="I40" s="195">
        <f t="shared" si="9"/>
        <v>7.1999999999999995E-2</v>
      </c>
      <c r="J40" s="254">
        <f t="shared" si="30"/>
        <v>7.1999999999999995E-2</v>
      </c>
      <c r="K40" s="195">
        <f t="shared" si="10"/>
        <v>7.1999999999999995E-2</v>
      </c>
      <c r="L40" s="254">
        <f t="shared" si="31"/>
        <v>0.1</v>
      </c>
      <c r="M40" s="195">
        <f t="shared" si="11"/>
        <v>0.1</v>
      </c>
      <c r="N40" s="245">
        <f t="shared" si="32"/>
        <v>0.1</v>
      </c>
      <c r="O40" s="238">
        <f t="shared" si="12"/>
        <v>0.1</v>
      </c>
      <c r="P40" s="245">
        <f t="shared" si="33"/>
        <v>5.0999999999999997E-2</v>
      </c>
      <c r="Q40" s="195">
        <f t="shared" si="13"/>
        <v>5.0999999999999997E-2</v>
      </c>
      <c r="R40" s="254">
        <f t="shared" si="34"/>
        <v>0.1</v>
      </c>
      <c r="S40" s="195">
        <f t="shared" si="14"/>
        <v>0.1</v>
      </c>
    </row>
    <row r="41" spans="1:19" x14ac:dyDescent="0.25">
      <c r="A41" s="192" t="s">
        <v>35</v>
      </c>
      <c r="B41" s="35">
        <v>7.1999999999999995E-2</v>
      </c>
      <c r="C41" s="35">
        <v>9.2999999999999999E-2</v>
      </c>
      <c r="D41" s="35">
        <v>3.5999999999999997E-2</v>
      </c>
      <c r="E41" s="198">
        <f t="shared" si="35"/>
        <v>7.0668587896253604E-2</v>
      </c>
      <c r="F41" s="245">
        <f t="shared" si="28"/>
        <v>7.1999999999999995E-2</v>
      </c>
      <c r="G41" s="238">
        <f t="shared" si="8"/>
        <v>7.1999999999999995E-2</v>
      </c>
      <c r="H41" s="245">
        <f t="shared" si="29"/>
        <v>7.1999999999999995E-2</v>
      </c>
      <c r="I41" s="195">
        <f t="shared" si="9"/>
        <v>7.1999999999999995E-2</v>
      </c>
      <c r="J41" s="254">
        <f t="shared" si="30"/>
        <v>7.1999999999999995E-2</v>
      </c>
      <c r="K41" s="195">
        <f t="shared" si="10"/>
        <v>7.1999999999999995E-2</v>
      </c>
      <c r="L41" s="254">
        <f t="shared" si="31"/>
        <v>9.2999999999999999E-2</v>
      </c>
      <c r="M41" s="195">
        <f t="shared" si="11"/>
        <v>9.2999999999999999E-2</v>
      </c>
      <c r="N41" s="245">
        <f t="shared" si="32"/>
        <v>9.2999999999999999E-2</v>
      </c>
      <c r="O41" s="238">
        <f t="shared" si="12"/>
        <v>9.2999999999999999E-2</v>
      </c>
      <c r="P41" s="245">
        <f t="shared" si="33"/>
        <v>3.5999999999999997E-2</v>
      </c>
      <c r="Q41" s="195">
        <f t="shared" si="13"/>
        <v>3.5999999999999997E-2</v>
      </c>
      <c r="R41" s="254">
        <f t="shared" si="34"/>
        <v>9.2999999999999999E-2</v>
      </c>
      <c r="S41" s="195">
        <f t="shared" si="14"/>
        <v>9.2999999999999999E-2</v>
      </c>
    </row>
    <row r="42" spans="1:19" x14ac:dyDescent="0.25">
      <c r="A42" s="192" t="s">
        <v>36</v>
      </c>
      <c r="B42" s="35">
        <v>0</v>
      </c>
      <c r="C42" s="35">
        <v>0</v>
      </c>
      <c r="D42" s="35">
        <v>0</v>
      </c>
      <c r="E42" s="198">
        <f t="shared" si="35"/>
        <v>0</v>
      </c>
      <c r="F42" s="245">
        <f t="shared" si="28"/>
        <v>0</v>
      </c>
      <c r="G42" s="238">
        <f t="shared" si="8"/>
        <v>0</v>
      </c>
      <c r="H42" s="245">
        <f t="shared" si="29"/>
        <v>0</v>
      </c>
      <c r="I42" s="195">
        <f t="shared" si="9"/>
        <v>0</v>
      </c>
      <c r="J42" s="254">
        <f t="shared" si="30"/>
        <v>0</v>
      </c>
      <c r="K42" s="195">
        <f t="shared" si="10"/>
        <v>0</v>
      </c>
      <c r="L42" s="254">
        <f t="shared" si="31"/>
        <v>0</v>
      </c>
      <c r="M42" s="195">
        <f t="shared" si="11"/>
        <v>0</v>
      </c>
      <c r="N42" s="245">
        <f t="shared" si="32"/>
        <v>0</v>
      </c>
      <c r="O42" s="238">
        <f t="shared" si="12"/>
        <v>0</v>
      </c>
      <c r="P42" s="245">
        <f t="shared" si="33"/>
        <v>0</v>
      </c>
      <c r="Q42" s="195">
        <f t="shared" si="13"/>
        <v>0</v>
      </c>
      <c r="R42" s="254">
        <f t="shared" si="34"/>
        <v>0</v>
      </c>
      <c r="S42" s="195">
        <f t="shared" si="14"/>
        <v>0</v>
      </c>
    </row>
    <row r="43" spans="1:19" x14ac:dyDescent="0.25">
      <c r="A43" s="192" t="s">
        <v>427</v>
      </c>
      <c r="B43" s="35">
        <v>0</v>
      </c>
      <c r="C43" s="35">
        <v>8.0000000000000002E-3</v>
      </c>
      <c r="D43" s="35">
        <v>1.4999999999999999E-2</v>
      </c>
      <c r="E43" s="198">
        <f t="shared" si="35"/>
        <v>5.4590778097982707E-3</v>
      </c>
      <c r="F43" s="245">
        <f t="shared" si="28"/>
        <v>0</v>
      </c>
      <c r="G43" s="238">
        <f t="shared" si="8"/>
        <v>0</v>
      </c>
      <c r="H43" s="245">
        <f t="shared" si="29"/>
        <v>0</v>
      </c>
      <c r="I43" s="195">
        <f t="shared" si="9"/>
        <v>0</v>
      </c>
      <c r="J43" s="254">
        <f t="shared" si="30"/>
        <v>0</v>
      </c>
      <c r="K43" s="195">
        <f t="shared" si="10"/>
        <v>0</v>
      </c>
      <c r="L43" s="254">
        <f t="shared" si="31"/>
        <v>8.0000000000000002E-3</v>
      </c>
      <c r="M43" s="195">
        <f t="shared" si="11"/>
        <v>8.0000000000000002E-3</v>
      </c>
      <c r="N43" s="245">
        <f t="shared" si="32"/>
        <v>8.0000000000000002E-3</v>
      </c>
      <c r="O43" s="238">
        <f t="shared" si="12"/>
        <v>8.0000000000000002E-3</v>
      </c>
      <c r="P43" s="245">
        <f t="shared" si="33"/>
        <v>1.4999999999999999E-2</v>
      </c>
      <c r="Q43" s="195">
        <f t="shared" si="13"/>
        <v>1.4999999999999999E-2</v>
      </c>
      <c r="R43" s="254">
        <f t="shared" si="34"/>
        <v>8.0000000000000002E-3</v>
      </c>
      <c r="S43" s="195">
        <f t="shared" si="14"/>
        <v>8.0000000000000002E-3</v>
      </c>
    </row>
    <row r="44" spans="1:19" x14ac:dyDescent="0.25">
      <c r="A44" s="192" t="s">
        <v>428</v>
      </c>
      <c r="B44" s="200">
        <v>1.06</v>
      </c>
      <c r="C44" s="200">
        <v>1.08</v>
      </c>
      <c r="D44" s="200">
        <v>1.04</v>
      </c>
      <c r="E44" s="201">
        <f t="shared" si="35"/>
        <v>1.0617002881844382</v>
      </c>
      <c r="F44" s="246">
        <f t="shared" si="28"/>
        <v>1.06</v>
      </c>
      <c r="G44" s="250">
        <f t="shared" si="8"/>
        <v>1.06</v>
      </c>
      <c r="H44" s="246">
        <f t="shared" si="29"/>
        <v>1.06</v>
      </c>
      <c r="I44" s="202">
        <f t="shared" si="9"/>
        <v>1.06</v>
      </c>
      <c r="J44" s="255">
        <f t="shared" si="30"/>
        <v>1.06</v>
      </c>
      <c r="K44" s="202">
        <f t="shared" si="10"/>
        <v>1.06</v>
      </c>
      <c r="L44" s="255">
        <f t="shared" si="31"/>
        <v>1.08</v>
      </c>
      <c r="M44" s="202">
        <f t="shared" si="11"/>
        <v>1.08</v>
      </c>
      <c r="N44" s="246">
        <f t="shared" si="32"/>
        <v>1.08</v>
      </c>
      <c r="O44" s="250">
        <f t="shared" si="12"/>
        <v>1.08</v>
      </c>
      <c r="P44" s="246">
        <f t="shared" si="33"/>
        <v>1.04</v>
      </c>
      <c r="Q44" s="202">
        <f t="shared" si="13"/>
        <v>1.04</v>
      </c>
      <c r="R44" s="255">
        <f t="shared" si="34"/>
        <v>1.08</v>
      </c>
      <c r="S44" s="202">
        <f t="shared" si="14"/>
        <v>1.08</v>
      </c>
    </row>
    <row r="45" spans="1:19" x14ac:dyDescent="0.25">
      <c r="A45" s="192" t="s">
        <v>429</v>
      </c>
      <c r="B45" s="35">
        <v>3.3000000000000002E-2</v>
      </c>
      <c r="C45" s="35">
        <v>6.0999999999999999E-2</v>
      </c>
      <c r="D45" s="35">
        <v>5.3999999999999999E-2</v>
      </c>
      <c r="E45" s="198">
        <f t="shared" si="35"/>
        <v>4.5561671469740633E-2</v>
      </c>
      <c r="F45" s="245">
        <f t="shared" si="28"/>
        <v>3.3000000000000002E-2</v>
      </c>
      <c r="G45" s="238">
        <f t="shared" si="8"/>
        <v>3.3000000000000002E-2</v>
      </c>
      <c r="H45" s="245">
        <f t="shared" si="29"/>
        <v>3.3000000000000002E-2</v>
      </c>
      <c r="I45" s="195">
        <f t="shared" si="9"/>
        <v>3.3000000000000002E-2</v>
      </c>
      <c r="J45" s="254">
        <f t="shared" si="30"/>
        <v>3.3000000000000002E-2</v>
      </c>
      <c r="K45" s="195">
        <f t="shared" si="10"/>
        <v>3.3000000000000002E-2</v>
      </c>
      <c r="L45" s="254">
        <f t="shared" si="31"/>
        <v>6.0999999999999999E-2</v>
      </c>
      <c r="M45" s="195">
        <f t="shared" si="11"/>
        <v>6.0999999999999999E-2</v>
      </c>
      <c r="N45" s="245">
        <f t="shared" si="32"/>
        <v>6.0999999999999999E-2</v>
      </c>
      <c r="O45" s="238">
        <f t="shared" si="12"/>
        <v>6.0999999999999999E-2</v>
      </c>
      <c r="P45" s="245">
        <f t="shared" si="33"/>
        <v>5.3999999999999999E-2</v>
      </c>
      <c r="Q45" s="195">
        <f t="shared" si="13"/>
        <v>5.3999999999999999E-2</v>
      </c>
      <c r="R45" s="254">
        <f t="shared" si="34"/>
        <v>6.0999999999999999E-2</v>
      </c>
      <c r="S45" s="195">
        <f t="shared" si="14"/>
        <v>6.0999999999999999E-2</v>
      </c>
    </row>
    <row r="46" spans="1:19" x14ac:dyDescent="0.25">
      <c r="A46" s="192" t="s">
        <v>41</v>
      </c>
      <c r="B46" s="35">
        <v>0.24199999999999999</v>
      </c>
      <c r="C46" s="35">
        <v>0.13300000000000001</v>
      </c>
      <c r="D46" s="35">
        <v>8.2000000000000003E-2</v>
      </c>
      <c r="E46" s="198">
        <f t="shared" si="35"/>
        <v>0.17684034582132563</v>
      </c>
      <c r="F46" s="245">
        <f t="shared" si="28"/>
        <v>0.24199999999999999</v>
      </c>
      <c r="G46" s="238">
        <f t="shared" si="8"/>
        <v>0.24199999999999999</v>
      </c>
      <c r="H46" s="245">
        <f t="shared" si="29"/>
        <v>0.24199999999999999</v>
      </c>
      <c r="I46" s="195">
        <f t="shared" si="9"/>
        <v>0.24199999999999999</v>
      </c>
      <c r="J46" s="254">
        <f t="shared" si="30"/>
        <v>0.24199999999999999</v>
      </c>
      <c r="K46" s="195">
        <f t="shared" si="10"/>
        <v>0.24199999999999999</v>
      </c>
      <c r="L46" s="254">
        <f t="shared" si="31"/>
        <v>0.13300000000000001</v>
      </c>
      <c r="M46" s="195">
        <f t="shared" si="11"/>
        <v>0.13300000000000001</v>
      </c>
      <c r="N46" s="245">
        <f t="shared" si="32"/>
        <v>0.13300000000000001</v>
      </c>
      <c r="O46" s="238">
        <f t="shared" si="12"/>
        <v>0.13300000000000001</v>
      </c>
      <c r="P46" s="245">
        <f t="shared" si="33"/>
        <v>8.2000000000000003E-2</v>
      </c>
      <c r="Q46" s="195">
        <f t="shared" si="13"/>
        <v>8.2000000000000003E-2</v>
      </c>
      <c r="R46" s="254">
        <f t="shared" si="34"/>
        <v>0.13300000000000001</v>
      </c>
      <c r="S46" s="195">
        <f t="shared" si="14"/>
        <v>0.13300000000000001</v>
      </c>
    </row>
    <row r="47" spans="1:19" x14ac:dyDescent="0.25">
      <c r="A47" s="192" t="s">
        <v>40</v>
      </c>
      <c r="B47" s="35">
        <v>4.2000000000000003E-2</v>
      </c>
      <c r="C47" s="35">
        <v>7.0999999999999994E-2</v>
      </c>
      <c r="D47" s="35">
        <v>0</v>
      </c>
      <c r="E47" s="198">
        <f t="shared" si="35"/>
        <v>4.1764265129682995E-2</v>
      </c>
      <c r="F47" s="245">
        <f t="shared" si="28"/>
        <v>4.2000000000000003E-2</v>
      </c>
      <c r="G47" s="238">
        <f t="shared" si="8"/>
        <v>4.2000000000000003E-2</v>
      </c>
      <c r="H47" s="245">
        <f t="shared" si="29"/>
        <v>4.2000000000000003E-2</v>
      </c>
      <c r="I47" s="195">
        <f t="shared" si="9"/>
        <v>4.2000000000000003E-2</v>
      </c>
      <c r="J47" s="254">
        <f t="shared" si="30"/>
        <v>4.2000000000000003E-2</v>
      </c>
      <c r="K47" s="195">
        <f t="shared" si="10"/>
        <v>4.2000000000000003E-2</v>
      </c>
      <c r="L47" s="254">
        <f t="shared" si="31"/>
        <v>7.0999999999999994E-2</v>
      </c>
      <c r="M47" s="195">
        <f t="shared" si="11"/>
        <v>7.0999999999999994E-2</v>
      </c>
      <c r="N47" s="245">
        <f t="shared" si="32"/>
        <v>7.0999999999999994E-2</v>
      </c>
      <c r="O47" s="238">
        <f t="shared" si="12"/>
        <v>7.0999999999999994E-2</v>
      </c>
      <c r="P47" s="245">
        <f t="shared" si="33"/>
        <v>0</v>
      </c>
      <c r="Q47" s="195">
        <f t="shared" si="13"/>
        <v>0</v>
      </c>
      <c r="R47" s="254">
        <f t="shared" si="34"/>
        <v>7.0999999999999994E-2</v>
      </c>
      <c r="S47" s="195">
        <f t="shared" si="14"/>
        <v>7.0999999999999994E-2</v>
      </c>
    </row>
    <row r="48" spans="1:19" x14ac:dyDescent="0.25">
      <c r="A48" s="192" t="s">
        <v>430</v>
      </c>
      <c r="B48" s="35">
        <v>0</v>
      </c>
      <c r="C48" s="35">
        <v>0.01</v>
      </c>
      <c r="D48" s="35">
        <v>1.0999999999999999E-2</v>
      </c>
      <c r="E48" s="198">
        <f t="shared" si="35"/>
        <v>5.2135446685878965E-3</v>
      </c>
      <c r="F48" s="245">
        <f t="shared" si="28"/>
        <v>0</v>
      </c>
      <c r="G48" s="238">
        <f t="shared" si="8"/>
        <v>0</v>
      </c>
      <c r="H48" s="245">
        <f t="shared" si="29"/>
        <v>0</v>
      </c>
      <c r="I48" s="195">
        <f t="shared" si="9"/>
        <v>0</v>
      </c>
      <c r="J48" s="254">
        <f t="shared" si="30"/>
        <v>0</v>
      </c>
      <c r="K48" s="195">
        <f t="shared" si="10"/>
        <v>0</v>
      </c>
      <c r="L48" s="254">
        <f t="shared" si="31"/>
        <v>0.01</v>
      </c>
      <c r="M48" s="195">
        <f t="shared" si="11"/>
        <v>0.01</v>
      </c>
      <c r="N48" s="245">
        <f t="shared" si="32"/>
        <v>0.01</v>
      </c>
      <c r="O48" s="238">
        <f t="shared" si="12"/>
        <v>0.01</v>
      </c>
      <c r="P48" s="245">
        <f t="shared" si="33"/>
        <v>1.0999999999999999E-2</v>
      </c>
      <c r="Q48" s="195">
        <f t="shared" si="13"/>
        <v>1.0999999999999999E-2</v>
      </c>
      <c r="R48" s="254">
        <f t="shared" si="34"/>
        <v>0.01</v>
      </c>
      <c r="S48" s="195">
        <f t="shared" si="14"/>
        <v>0.01</v>
      </c>
    </row>
    <row r="49" spans="1:19" x14ac:dyDescent="0.25">
      <c r="A49" s="192" t="s">
        <v>42</v>
      </c>
      <c r="B49" s="35">
        <v>5.2999999999999999E-2</v>
      </c>
      <c r="C49" s="35">
        <v>0.05</v>
      </c>
      <c r="D49" s="35">
        <v>3.9E-2</v>
      </c>
      <c r="E49" s="198">
        <f t="shared" si="35"/>
        <v>4.9212680115273778E-2</v>
      </c>
      <c r="F49" s="245">
        <f t="shared" si="28"/>
        <v>5.2999999999999999E-2</v>
      </c>
      <c r="G49" s="238">
        <f t="shared" si="8"/>
        <v>5.2999999999999999E-2</v>
      </c>
      <c r="H49" s="245">
        <f t="shared" si="29"/>
        <v>5.2999999999999999E-2</v>
      </c>
      <c r="I49" s="195">
        <f t="shared" si="9"/>
        <v>5.2999999999999999E-2</v>
      </c>
      <c r="J49" s="254">
        <f t="shared" si="30"/>
        <v>5.2999999999999999E-2</v>
      </c>
      <c r="K49" s="195">
        <f t="shared" si="10"/>
        <v>5.2999999999999999E-2</v>
      </c>
      <c r="L49" s="254">
        <f t="shared" si="31"/>
        <v>0.05</v>
      </c>
      <c r="M49" s="195">
        <f t="shared" si="11"/>
        <v>0.05</v>
      </c>
      <c r="N49" s="245">
        <f t="shared" si="32"/>
        <v>0.05</v>
      </c>
      <c r="O49" s="238">
        <f t="shared" si="12"/>
        <v>0.05</v>
      </c>
      <c r="P49" s="245">
        <f t="shared" si="33"/>
        <v>3.9E-2</v>
      </c>
      <c r="Q49" s="195">
        <f t="shared" si="13"/>
        <v>3.9E-2</v>
      </c>
      <c r="R49" s="254">
        <f t="shared" si="34"/>
        <v>0.05</v>
      </c>
      <c r="S49" s="195">
        <f t="shared" si="14"/>
        <v>0.05</v>
      </c>
    </row>
    <row r="50" spans="1:19" x14ac:dyDescent="0.25">
      <c r="A50" s="192" t="s">
        <v>87</v>
      </c>
      <c r="B50" s="5"/>
      <c r="C50" s="5"/>
      <c r="D50" s="5"/>
      <c r="E50" s="43"/>
      <c r="F50" s="241"/>
      <c r="G50" s="238"/>
      <c r="H50" s="241"/>
      <c r="I50" s="195"/>
      <c r="J50" s="256"/>
      <c r="K50" s="195"/>
      <c r="L50" s="256"/>
      <c r="M50" s="195"/>
      <c r="N50" s="241"/>
      <c r="O50" s="238"/>
      <c r="P50" s="241"/>
      <c r="Q50" s="195"/>
      <c r="R50" s="256"/>
      <c r="S50" s="195"/>
    </row>
    <row r="51" spans="1:19" x14ac:dyDescent="0.25">
      <c r="A51" s="192" t="s">
        <v>431</v>
      </c>
      <c r="B51" s="35">
        <v>0.191</v>
      </c>
      <c r="C51" s="35">
        <v>0.23300000000000001</v>
      </c>
      <c r="D51" s="35">
        <v>0.255</v>
      </c>
      <c r="E51" s="198">
        <f t="shared" si="35"/>
        <v>0.21659538904899137</v>
      </c>
      <c r="F51" s="245">
        <f t="shared" ref="F51:F60" si="36">B51</f>
        <v>0.191</v>
      </c>
      <c r="G51" s="238">
        <f t="shared" si="8"/>
        <v>0.191</v>
      </c>
      <c r="H51" s="245">
        <f t="shared" ref="H51:H60" si="37">B51</f>
        <v>0.191</v>
      </c>
      <c r="I51" s="195">
        <f t="shared" si="9"/>
        <v>0.191</v>
      </c>
      <c r="J51" s="254">
        <f t="shared" ref="J51:J60" si="38">B51</f>
        <v>0.191</v>
      </c>
      <c r="K51" s="195">
        <f t="shared" si="10"/>
        <v>0.191</v>
      </c>
      <c r="L51" s="254">
        <f t="shared" ref="L51:L60" si="39">C51</f>
        <v>0.23300000000000001</v>
      </c>
      <c r="M51" s="195">
        <f t="shared" si="11"/>
        <v>0.23300000000000001</v>
      </c>
      <c r="N51" s="245">
        <f t="shared" ref="N51:N60" si="40">C51</f>
        <v>0.23300000000000001</v>
      </c>
      <c r="O51" s="238">
        <f t="shared" si="12"/>
        <v>0.23300000000000001</v>
      </c>
      <c r="P51" s="245">
        <f t="shared" ref="P51:P60" si="41">D51</f>
        <v>0.255</v>
      </c>
      <c r="Q51" s="195">
        <f t="shared" si="13"/>
        <v>0.255</v>
      </c>
      <c r="R51" s="254">
        <f t="shared" ref="R51:R60" si="42">C51</f>
        <v>0.23300000000000001</v>
      </c>
      <c r="S51" s="195">
        <f t="shared" si="14"/>
        <v>0.23300000000000001</v>
      </c>
    </row>
    <row r="52" spans="1:19" x14ac:dyDescent="0.25">
      <c r="A52" s="192" t="s">
        <v>432</v>
      </c>
      <c r="B52" s="35">
        <v>0.29299999999999998</v>
      </c>
      <c r="C52" s="35">
        <v>0.20599999999999999</v>
      </c>
      <c r="D52" s="35">
        <v>0.14299999999999999</v>
      </c>
      <c r="E52" s="198">
        <f t="shared" si="35"/>
        <v>0.23635965417867433</v>
      </c>
      <c r="F52" s="245">
        <f t="shared" si="36"/>
        <v>0.29299999999999998</v>
      </c>
      <c r="G52" s="238">
        <f t="shared" si="8"/>
        <v>0.29299999999999998</v>
      </c>
      <c r="H52" s="245">
        <f t="shared" si="37"/>
        <v>0.29299999999999998</v>
      </c>
      <c r="I52" s="195">
        <f t="shared" si="9"/>
        <v>0.29299999999999998</v>
      </c>
      <c r="J52" s="254">
        <f t="shared" si="38"/>
        <v>0.29299999999999998</v>
      </c>
      <c r="K52" s="195">
        <f t="shared" si="10"/>
        <v>0.29299999999999998</v>
      </c>
      <c r="L52" s="254">
        <f t="shared" si="39"/>
        <v>0.20599999999999999</v>
      </c>
      <c r="M52" s="195">
        <f t="shared" si="11"/>
        <v>0.20599999999999999</v>
      </c>
      <c r="N52" s="245">
        <f t="shared" si="40"/>
        <v>0.20599999999999999</v>
      </c>
      <c r="O52" s="238">
        <f t="shared" si="12"/>
        <v>0.20599999999999999</v>
      </c>
      <c r="P52" s="245">
        <f t="shared" si="41"/>
        <v>0.14299999999999999</v>
      </c>
      <c r="Q52" s="195">
        <f t="shared" si="13"/>
        <v>0.14299999999999999</v>
      </c>
      <c r="R52" s="254">
        <f t="shared" si="42"/>
        <v>0.20599999999999999</v>
      </c>
      <c r="S52" s="195">
        <f t="shared" si="14"/>
        <v>0.20599999999999999</v>
      </c>
    </row>
    <row r="53" spans="1:19" x14ac:dyDescent="0.25">
      <c r="A53" s="192" t="s">
        <v>433</v>
      </c>
      <c r="B53" s="35">
        <v>0.34599999999999997</v>
      </c>
      <c r="C53" s="35">
        <v>0.22700000000000001</v>
      </c>
      <c r="D53" s="35">
        <v>0.188</v>
      </c>
      <c r="E53" s="198">
        <f t="shared" si="35"/>
        <v>0.27832795389048992</v>
      </c>
      <c r="F53" s="245">
        <f t="shared" si="36"/>
        <v>0.34599999999999997</v>
      </c>
      <c r="G53" s="238">
        <f t="shared" si="8"/>
        <v>0.34599999999999997</v>
      </c>
      <c r="H53" s="245">
        <f t="shared" si="37"/>
        <v>0.34599999999999997</v>
      </c>
      <c r="I53" s="195">
        <f t="shared" si="9"/>
        <v>0.34599999999999997</v>
      </c>
      <c r="J53" s="254">
        <f t="shared" si="38"/>
        <v>0.34599999999999997</v>
      </c>
      <c r="K53" s="195">
        <f t="shared" si="10"/>
        <v>0.34599999999999997</v>
      </c>
      <c r="L53" s="254">
        <f t="shared" si="39"/>
        <v>0.22700000000000001</v>
      </c>
      <c r="M53" s="195">
        <f t="shared" si="11"/>
        <v>0.22700000000000001</v>
      </c>
      <c r="N53" s="245">
        <f t="shared" si="40"/>
        <v>0.22700000000000001</v>
      </c>
      <c r="O53" s="238">
        <f t="shared" si="12"/>
        <v>0.22700000000000001</v>
      </c>
      <c r="P53" s="245">
        <f t="shared" si="41"/>
        <v>0.188</v>
      </c>
      <c r="Q53" s="195">
        <f t="shared" si="13"/>
        <v>0.188</v>
      </c>
      <c r="R53" s="254">
        <f t="shared" si="42"/>
        <v>0.22700000000000001</v>
      </c>
      <c r="S53" s="195">
        <f t="shared" si="14"/>
        <v>0.22700000000000001</v>
      </c>
    </row>
    <row r="54" spans="1:19" x14ac:dyDescent="0.25">
      <c r="A54" s="192" t="s">
        <v>434</v>
      </c>
      <c r="B54" s="35">
        <v>3.7999999999999999E-2</v>
      </c>
      <c r="C54" s="35">
        <v>0.13200000000000001</v>
      </c>
      <c r="D54" s="35">
        <v>0.16</v>
      </c>
      <c r="E54" s="198">
        <f t="shared" si="35"/>
        <v>9.0872046109510093E-2</v>
      </c>
      <c r="F54" s="245">
        <f t="shared" si="36"/>
        <v>3.7999999999999999E-2</v>
      </c>
      <c r="G54" s="238">
        <f t="shared" si="8"/>
        <v>3.7999999999999999E-2</v>
      </c>
      <c r="H54" s="245">
        <f t="shared" si="37"/>
        <v>3.7999999999999999E-2</v>
      </c>
      <c r="I54" s="195">
        <f t="shared" si="9"/>
        <v>3.7999999999999999E-2</v>
      </c>
      <c r="J54" s="254">
        <f t="shared" si="38"/>
        <v>3.7999999999999999E-2</v>
      </c>
      <c r="K54" s="195">
        <f t="shared" si="10"/>
        <v>3.7999999999999999E-2</v>
      </c>
      <c r="L54" s="254">
        <f t="shared" si="39"/>
        <v>0.13200000000000001</v>
      </c>
      <c r="M54" s="195">
        <f t="shared" si="11"/>
        <v>0.13200000000000001</v>
      </c>
      <c r="N54" s="245">
        <f t="shared" si="40"/>
        <v>0.13200000000000001</v>
      </c>
      <c r="O54" s="238">
        <f t="shared" si="12"/>
        <v>0.13200000000000001</v>
      </c>
      <c r="P54" s="245">
        <f t="shared" si="41"/>
        <v>0.16</v>
      </c>
      <c r="Q54" s="195">
        <f t="shared" si="13"/>
        <v>0.16</v>
      </c>
      <c r="R54" s="254">
        <f t="shared" si="42"/>
        <v>0.13200000000000001</v>
      </c>
      <c r="S54" s="195">
        <f t="shared" si="14"/>
        <v>0.13200000000000001</v>
      </c>
    </row>
    <row r="55" spans="1:19" x14ac:dyDescent="0.25">
      <c r="A55" s="192" t="s">
        <v>435</v>
      </c>
      <c r="B55" s="35">
        <v>1.6E-2</v>
      </c>
      <c r="C55" s="35">
        <v>2.7E-2</v>
      </c>
      <c r="D55" s="35">
        <v>2.5999999999999999E-2</v>
      </c>
      <c r="E55" s="198">
        <f t="shared" si="35"/>
        <v>2.1298559077809795E-2</v>
      </c>
      <c r="F55" s="245">
        <f t="shared" si="36"/>
        <v>1.6E-2</v>
      </c>
      <c r="G55" s="238">
        <f t="shared" si="8"/>
        <v>1.6E-2</v>
      </c>
      <c r="H55" s="245">
        <f t="shared" si="37"/>
        <v>1.6E-2</v>
      </c>
      <c r="I55" s="195">
        <f t="shared" si="9"/>
        <v>1.6E-2</v>
      </c>
      <c r="J55" s="254">
        <f t="shared" si="38"/>
        <v>1.6E-2</v>
      </c>
      <c r="K55" s="195">
        <f t="shared" si="10"/>
        <v>1.6E-2</v>
      </c>
      <c r="L55" s="254">
        <f t="shared" si="39"/>
        <v>2.7E-2</v>
      </c>
      <c r="M55" s="195">
        <f t="shared" si="11"/>
        <v>2.7E-2</v>
      </c>
      <c r="N55" s="245">
        <f t="shared" si="40"/>
        <v>2.7E-2</v>
      </c>
      <c r="O55" s="238">
        <f t="shared" si="12"/>
        <v>2.7E-2</v>
      </c>
      <c r="P55" s="245">
        <f t="shared" si="41"/>
        <v>2.5999999999999999E-2</v>
      </c>
      <c r="Q55" s="195">
        <f t="shared" si="13"/>
        <v>2.5999999999999999E-2</v>
      </c>
      <c r="R55" s="254">
        <f t="shared" si="42"/>
        <v>2.7E-2</v>
      </c>
      <c r="S55" s="195">
        <f t="shared" si="14"/>
        <v>2.7E-2</v>
      </c>
    </row>
    <row r="56" spans="1:19" x14ac:dyDescent="0.25">
      <c r="A56" s="192" t="s">
        <v>436</v>
      </c>
      <c r="B56" s="35">
        <v>2.1999999999999999E-2</v>
      </c>
      <c r="C56" s="35">
        <v>5.0999999999999997E-2</v>
      </c>
      <c r="D56" s="35">
        <v>0.13300000000000001</v>
      </c>
      <c r="E56" s="198">
        <f t="shared" si="35"/>
        <v>5.355475504322766E-2</v>
      </c>
      <c r="F56" s="245">
        <f t="shared" si="36"/>
        <v>2.1999999999999999E-2</v>
      </c>
      <c r="G56" s="238">
        <f t="shared" si="8"/>
        <v>2.1999999999999999E-2</v>
      </c>
      <c r="H56" s="245">
        <f t="shared" si="37"/>
        <v>2.1999999999999999E-2</v>
      </c>
      <c r="I56" s="195">
        <f t="shared" si="9"/>
        <v>2.1999999999999999E-2</v>
      </c>
      <c r="J56" s="254">
        <f t="shared" si="38"/>
        <v>2.1999999999999999E-2</v>
      </c>
      <c r="K56" s="195">
        <f t="shared" si="10"/>
        <v>2.1999999999999999E-2</v>
      </c>
      <c r="L56" s="254">
        <f t="shared" si="39"/>
        <v>5.0999999999999997E-2</v>
      </c>
      <c r="M56" s="195">
        <f t="shared" si="11"/>
        <v>5.0999999999999997E-2</v>
      </c>
      <c r="N56" s="245">
        <f t="shared" si="40"/>
        <v>5.0999999999999997E-2</v>
      </c>
      <c r="O56" s="238">
        <f t="shared" si="12"/>
        <v>5.0999999999999997E-2</v>
      </c>
      <c r="P56" s="245">
        <f t="shared" si="41"/>
        <v>0.13300000000000001</v>
      </c>
      <c r="Q56" s="195">
        <f t="shared" si="13"/>
        <v>0.13300000000000001</v>
      </c>
      <c r="R56" s="254">
        <f t="shared" si="42"/>
        <v>5.0999999999999997E-2</v>
      </c>
      <c r="S56" s="195">
        <f t="shared" si="14"/>
        <v>5.0999999999999997E-2</v>
      </c>
    </row>
    <row r="57" spans="1:19" x14ac:dyDescent="0.25">
      <c r="A57" s="192" t="s">
        <v>437</v>
      </c>
      <c r="B57" s="35">
        <v>1.4E-2</v>
      </c>
      <c r="C57" s="35">
        <v>7.0000000000000001E-3</v>
      </c>
      <c r="D57" s="35">
        <v>1.6E-2</v>
      </c>
      <c r="E57" s="198">
        <f t="shared" si="35"/>
        <v>1.236599423631124E-2</v>
      </c>
      <c r="F57" s="245">
        <f t="shared" si="36"/>
        <v>1.4E-2</v>
      </c>
      <c r="G57" s="238">
        <f t="shared" si="8"/>
        <v>1.4E-2</v>
      </c>
      <c r="H57" s="245">
        <f t="shared" si="37"/>
        <v>1.4E-2</v>
      </c>
      <c r="I57" s="195">
        <f t="shared" si="9"/>
        <v>1.4E-2</v>
      </c>
      <c r="J57" s="254">
        <f t="shared" si="38"/>
        <v>1.4E-2</v>
      </c>
      <c r="K57" s="195">
        <f t="shared" si="10"/>
        <v>1.4E-2</v>
      </c>
      <c r="L57" s="254">
        <f t="shared" si="39"/>
        <v>7.0000000000000001E-3</v>
      </c>
      <c r="M57" s="195">
        <f t="shared" si="11"/>
        <v>7.0000000000000001E-3</v>
      </c>
      <c r="N57" s="245">
        <f t="shared" si="40"/>
        <v>7.0000000000000001E-3</v>
      </c>
      <c r="O57" s="238">
        <f t="shared" si="12"/>
        <v>7.0000000000000001E-3</v>
      </c>
      <c r="P57" s="245">
        <f t="shared" si="41"/>
        <v>1.6E-2</v>
      </c>
      <c r="Q57" s="195">
        <f t="shared" si="13"/>
        <v>1.6E-2</v>
      </c>
      <c r="R57" s="254">
        <f t="shared" si="42"/>
        <v>7.0000000000000001E-3</v>
      </c>
      <c r="S57" s="195">
        <f t="shared" si="14"/>
        <v>7.0000000000000001E-3</v>
      </c>
    </row>
    <row r="58" spans="1:19" x14ac:dyDescent="0.25">
      <c r="A58" s="192" t="s">
        <v>438</v>
      </c>
      <c r="B58" s="35">
        <v>2.1000000000000001E-2</v>
      </c>
      <c r="C58" s="35">
        <v>2.1999999999999999E-2</v>
      </c>
      <c r="D58" s="35">
        <v>3.5999999999999997E-2</v>
      </c>
      <c r="E58" s="198">
        <f t="shared" si="35"/>
        <v>2.4409510086455335E-2</v>
      </c>
      <c r="F58" s="245">
        <f t="shared" si="36"/>
        <v>2.1000000000000001E-2</v>
      </c>
      <c r="G58" s="238">
        <f t="shared" si="8"/>
        <v>2.1000000000000001E-2</v>
      </c>
      <c r="H58" s="245">
        <f t="shared" si="37"/>
        <v>2.1000000000000001E-2</v>
      </c>
      <c r="I58" s="195">
        <f t="shared" si="9"/>
        <v>2.1000000000000001E-2</v>
      </c>
      <c r="J58" s="254">
        <f t="shared" si="38"/>
        <v>2.1000000000000001E-2</v>
      </c>
      <c r="K58" s="195">
        <f t="shared" si="10"/>
        <v>2.1000000000000001E-2</v>
      </c>
      <c r="L58" s="254">
        <f t="shared" si="39"/>
        <v>2.1999999999999999E-2</v>
      </c>
      <c r="M58" s="195">
        <f t="shared" si="11"/>
        <v>2.1999999999999999E-2</v>
      </c>
      <c r="N58" s="245">
        <f t="shared" si="40"/>
        <v>2.1999999999999999E-2</v>
      </c>
      <c r="O58" s="238">
        <f t="shared" si="12"/>
        <v>2.1999999999999999E-2</v>
      </c>
      <c r="P58" s="245">
        <f t="shared" si="41"/>
        <v>3.5999999999999997E-2</v>
      </c>
      <c r="Q58" s="195">
        <f t="shared" si="13"/>
        <v>3.5999999999999997E-2</v>
      </c>
      <c r="R58" s="254">
        <f t="shared" si="42"/>
        <v>2.1999999999999999E-2</v>
      </c>
      <c r="S58" s="195">
        <f t="shared" si="14"/>
        <v>2.1999999999999999E-2</v>
      </c>
    </row>
    <row r="59" spans="1:19" x14ac:dyDescent="0.25">
      <c r="A59" s="192" t="s">
        <v>439</v>
      </c>
      <c r="B59" s="35">
        <v>5.8999999999999997E-2</v>
      </c>
      <c r="C59" s="35">
        <v>9.5000000000000001E-2</v>
      </c>
      <c r="D59" s="35">
        <v>4.2999999999999997E-2</v>
      </c>
      <c r="E59" s="198">
        <f t="shared" si="35"/>
        <v>6.6216138328530252E-2</v>
      </c>
      <c r="F59" s="245">
        <f t="shared" si="36"/>
        <v>5.8999999999999997E-2</v>
      </c>
      <c r="G59" s="238">
        <f t="shared" si="8"/>
        <v>5.8999999999999997E-2</v>
      </c>
      <c r="H59" s="245">
        <f t="shared" si="37"/>
        <v>5.8999999999999997E-2</v>
      </c>
      <c r="I59" s="195">
        <f t="shared" si="9"/>
        <v>5.8999999999999997E-2</v>
      </c>
      <c r="J59" s="254">
        <f t="shared" si="38"/>
        <v>5.8999999999999997E-2</v>
      </c>
      <c r="K59" s="195">
        <f t="shared" si="10"/>
        <v>5.8999999999999997E-2</v>
      </c>
      <c r="L59" s="254">
        <f t="shared" si="39"/>
        <v>9.5000000000000001E-2</v>
      </c>
      <c r="M59" s="195">
        <f t="shared" si="11"/>
        <v>9.5000000000000001E-2</v>
      </c>
      <c r="N59" s="245">
        <f t="shared" si="40"/>
        <v>9.5000000000000001E-2</v>
      </c>
      <c r="O59" s="238">
        <f t="shared" si="12"/>
        <v>9.5000000000000001E-2</v>
      </c>
      <c r="P59" s="245">
        <f t="shared" si="41"/>
        <v>4.2999999999999997E-2</v>
      </c>
      <c r="Q59" s="195">
        <f t="shared" si="13"/>
        <v>4.2999999999999997E-2</v>
      </c>
      <c r="R59" s="254">
        <f t="shared" si="42"/>
        <v>9.5000000000000001E-2</v>
      </c>
      <c r="S59" s="195">
        <f t="shared" si="14"/>
        <v>9.5000000000000001E-2</v>
      </c>
    </row>
    <row r="60" spans="1:19" x14ac:dyDescent="0.25">
      <c r="A60" s="192" t="s">
        <v>88</v>
      </c>
      <c r="B60" s="5">
        <v>16.399999999999999</v>
      </c>
      <c r="C60" s="5">
        <v>18.899999999999999</v>
      </c>
      <c r="D60" s="5">
        <v>19.399999999999999</v>
      </c>
      <c r="E60" s="199">
        <f t="shared" si="35"/>
        <v>17.755331412103743</v>
      </c>
      <c r="F60" s="247">
        <f t="shared" si="36"/>
        <v>16.399999999999999</v>
      </c>
      <c r="G60" s="251">
        <f t="shared" si="8"/>
        <v>16.399999999999999</v>
      </c>
      <c r="H60" s="247">
        <f t="shared" si="37"/>
        <v>16.399999999999999</v>
      </c>
      <c r="I60" s="240">
        <f t="shared" si="9"/>
        <v>16.399999999999999</v>
      </c>
      <c r="J60" s="257">
        <f t="shared" si="38"/>
        <v>16.399999999999999</v>
      </c>
      <c r="K60" s="240">
        <f t="shared" si="10"/>
        <v>16.399999999999999</v>
      </c>
      <c r="L60" s="257">
        <f t="shared" si="39"/>
        <v>18.899999999999999</v>
      </c>
      <c r="M60" s="240">
        <f t="shared" si="11"/>
        <v>18.899999999999999</v>
      </c>
      <c r="N60" s="247">
        <f t="shared" si="40"/>
        <v>18.899999999999999</v>
      </c>
      <c r="O60" s="251">
        <f t="shared" si="12"/>
        <v>18.899999999999999</v>
      </c>
      <c r="P60" s="247">
        <f t="shared" si="41"/>
        <v>19.399999999999999</v>
      </c>
      <c r="Q60" s="240">
        <f t="shared" si="13"/>
        <v>19.399999999999999</v>
      </c>
      <c r="R60" s="257">
        <f t="shared" si="42"/>
        <v>18.899999999999999</v>
      </c>
      <c r="S60" s="240">
        <f t="shared" si="14"/>
        <v>18.899999999999999</v>
      </c>
    </row>
    <row r="61" spans="1:19" x14ac:dyDescent="0.25">
      <c r="A61" s="192" t="s">
        <v>89</v>
      </c>
      <c r="B61" s="5"/>
      <c r="C61" s="5"/>
      <c r="D61" s="5"/>
      <c r="E61" s="43"/>
      <c r="F61" s="41"/>
      <c r="G61" s="237"/>
      <c r="H61" s="41"/>
      <c r="I61" s="43"/>
      <c r="J61" s="258"/>
      <c r="K61" s="43"/>
      <c r="L61" s="258"/>
      <c r="M61" s="43"/>
      <c r="N61" s="41"/>
      <c r="O61" s="237"/>
      <c r="P61" s="41"/>
      <c r="Q61" s="43"/>
      <c r="R61" s="258"/>
      <c r="S61" s="43"/>
    </row>
    <row r="62" spans="1:19" x14ac:dyDescent="0.25">
      <c r="A62" s="192" t="s">
        <v>440</v>
      </c>
      <c r="B62" s="38">
        <v>1713</v>
      </c>
      <c r="C62" s="38">
        <v>945</v>
      </c>
      <c r="D62" s="38">
        <v>721</v>
      </c>
      <c r="E62" s="42">
        <f>SUM(B62:D62)</f>
        <v>3379</v>
      </c>
      <c r="F62" s="243">
        <f>(1/3)*B62</f>
        <v>571</v>
      </c>
      <c r="G62" s="166">
        <f t="shared" si="8"/>
        <v>571</v>
      </c>
      <c r="H62" s="243">
        <f>(1/3)*B62</f>
        <v>571</v>
      </c>
      <c r="I62" s="42">
        <f t="shared" si="9"/>
        <v>571</v>
      </c>
      <c r="J62" s="167">
        <f>(1/3)*B62</f>
        <v>571</v>
      </c>
      <c r="K62" s="42">
        <f t="shared" si="10"/>
        <v>571</v>
      </c>
      <c r="L62" s="167">
        <f>(1/2)*C62</f>
        <v>472.5</v>
      </c>
      <c r="M62" s="42">
        <f t="shared" si="11"/>
        <v>472.5</v>
      </c>
      <c r="N62" s="243">
        <f>(1/2)*C62</f>
        <v>472.5</v>
      </c>
      <c r="O62" s="166">
        <f t="shared" si="12"/>
        <v>472.5</v>
      </c>
      <c r="P62" s="243">
        <f>D62</f>
        <v>721</v>
      </c>
      <c r="Q62" s="42">
        <f t="shared" si="13"/>
        <v>721</v>
      </c>
      <c r="R62" s="167">
        <f>(1/4)*C62</f>
        <v>236.25</v>
      </c>
      <c r="S62" s="42">
        <f t="shared" si="14"/>
        <v>236.25</v>
      </c>
    </row>
    <row r="63" spans="1:19" x14ac:dyDescent="0.25">
      <c r="A63" s="192" t="s">
        <v>441</v>
      </c>
      <c r="B63" s="35">
        <v>0.13100000000000001</v>
      </c>
      <c r="C63" s="35">
        <v>4.2000000000000003E-2</v>
      </c>
      <c r="D63" s="35">
        <v>8.5999999999999993E-2</v>
      </c>
      <c r="E63" s="195">
        <f>((B63*$B$62)+(C63*$C$62)+(D63*$D$62))/$E$62</f>
        <v>9.6507546611423495E-2</v>
      </c>
      <c r="F63" s="241">
        <f>B63</f>
        <v>0.13100000000000001</v>
      </c>
      <c r="G63" s="238">
        <f t="shared" si="8"/>
        <v>0.13100000000000001</v>
      </c>
      <c r="H63" s="241">
        <f>B63</f>
        <v>0.13100000000000001</v>
      </c>
      <c r="I63" s="195">
        <f t="shared" si="9"/>
        <v>0.13100000000000001</v>
      </c>
      <c r="J63" s="256">
        <f>B63</f>
        <v>0.13100000000000001</v>
      </c>
      <c r="K63" s="195">
        <f t="shared" si="10"/>
        <v>0.13100000000000001</v>
      </c>
      <c r="L63" s="256">
        <f>C63</f>
        <v>4.2000000000000003E-2</v>
      </c>
      <c r="M63" s="195">
        <f t="shared" si="11"/>
        <v>4.2000000000000003E-2</v>
      </c>
      <c r="N63" s="241">
        <f>C63</f>
        <v>4.2000000000000003E-2</v>
      </c>
      <c r="O63" s="238">
        <f t="shared" si="12"/>
        <v>4.2000000000000003E-2</v>
      </c>
      <c r="P63" s="241">
        <f>D63</f>
        <v>8.5999999999999993E-2</v>
      </c>
      <c r="Q63" s="195">
        <f t="shared" si="13"/>
        <v>8.5999999999999993E-2</v>
      </c>
      <c r="R63" s="256">
        <f>C63</f>
        <v>4.2000000000000003E-2</v>
      </c>
      <c r="S63" s="195">
        <f t="shared" si="14"/>
        <v>4.2000000000000003E-2</v>
      </c>
    </row>
    <row r="64" spans="1:19" x14ac:dyDescent="0.25">
      <c r="A64" s="192" t="s">
        <v>442</v>
      </c>
      <c r="B64" s="35">
        <v>0.435</v>
      </c>
      <c r="C64" s="35">
        <v>0.34200000000000003</v>
      </c>
      <c r="D64" s="35">
        <v>0.308</v>
      </c>
      <c r="E64" s="195">
        <f t="shared" ref="E64:E66" si="43">((B64*$B$62)+(C64*$C$62)+(D64*$D$62))/$E$62</f>
        <v>0.38189197987570289</v>
      </c>
      <c r="F64" s="241">
        <f>B64</f>
        <v>0.435</v>
      </c>
      <c r="G64" s="238">
        <f t="shared" si="8"/>
        <v>0.435</v>
      </c>
      <c r="H64" s="241">
        <f>B64</f>
        <v>0.435</v>
      </c>
      <c r="I64" s="195">
        <f t="shared" si="9"/>
        <v>0.435</v>
      </c>
      <c r="J64" s="256">
        <f>B64</f>
        <v>0.435</v>
      </c>
      <c r="K64" s="195">
        <f t="shared" si="10"/>
        <v>0.435</v>
      </c>
      <c r="L64" s="256">
        <f>C64</f>
        <v>0.34200000000000003</v>
      </c>
      <c r="M64" s="195">
        <f t="shared" si="11"/>
        <v>0.34200000000000003</v>
      </c>
      <c r="N64" s="241">
        <f>C64</f>
        <v>0.34200000000000003</v>
      </c>
      <c r="O64" s="238">
        <f t="shared" si="12"/>
        <v>0.34200000000000003</v>
      </c>
      <c r="P64" s="241">
        <f>D64</f>
        <v>0.308</v>
      </c>
      <c r="Q64" s="195">
        <f t="shared" si="13"/>
        <v>0.308</v>
      </c>
      <c r="R64" s="256">
        <f>C64</f>
        <v>0.34200000000000003</v>
      </c>
      <c r="S64" s="195">
        <f t="shared" si="14"/>
        <v>0.34200000000000003</v>
      </c>
    </row>
    <row r="65" spans="1:19" x14ac:dyDescent="0.25">
      <c r="A65" s="192" t="s">
        <v>443</v>
      </c>
      <c r="B65" s="35">
        <v>0.32</v>
      </c>
      <c r="C65" s="35">
        <v>0.41499999999999998</v>
      </c>
      <c r="D65" s="35">
        <v>0.438</v>
      </c>
      <c r="E65" s="195">
        <f t="shared" si="43"/>
        <v>0.37174696655815326</v>
      </c>
      <c r="F65" s="241">
        <f>B65</f>
        <v>0.32</v>
      </c>
      <c r="G65" s="238">
        <f t="shared" si="8"/>
        <v>0.32</v>
      </c>
      <c r="H65" s="241">
        <f>B65</f>
        <v>0.32</v>
      </c>
      <c r="I65" s="195">
        <f t="shared" si="9"/>
        <v>0.32</v>
      </c>
      <c r="J65" s="256">
        <f>B65</f>
        <v>0.32</v>
      </c>
      <c r="K65" s="195">
        <f t="shared" si="10"/>
        <v>0.32</v>
      </c>
      <c r="L65" s="256">
        <f>C65</f>
        <v>0.41499999999999998</v>
      </c>
      <c r="M65" s="195">
        <f t="shared" si="11"/>
        <v>0.41499999999999998</v>
      </c>
      <c r="N65" s="241">
        <f>C65</f>
        <v>0.41499999999999998</v>
      </c>
      <c r="O65" s="238">
        <f t="shared" si="12"/>
        <v>0.41499999999999998</v>
      </c>
      <c r="P65" s="241">
        <f>D65</f>
        <v>0.438</v>
      </c>
      <c r="Q65" s="195">
        <f t="shared" si="13"/>
        <v>0.438</v>
      </c>
      <c r="R65" s="256">
        <f>C65</f>
        <v>0.41499999999999998</v>
      </c>
      <c r="S65" s="195">
        <f t="shared" si="14"/>
        <v>0.41499999999999998</v>
      </c>
    </row>
    <row r="66" spans="1:19" ht="15.75" thickBot="1" x14ac:dyDescent="0.3">
      <c r="A66" s="193" t="s">
        <v>444</v>
      </c>
      <c r="B66" s="196">
        <v>0.114</v>
      </c>
      <c r="C66" s="196">
        <v>0.20100000000000001</v>
      </c>
      <c r="D66" s="196">
        <v>0.16800000000000001</v>
      </c>
      <c r="E66" s="197">
        <f t="shared" si="43"/>
        <v>0.14985350695472033</v>
      </c>
      <c r="F66" s="242">
        <f>B66</f>
        <v>0.114</v>
      </c>
      <c r="G66" s="239">
        <f t="shared" si="8"/>
        <v>0.114</v>
      </c>
      <c r="H66" s="242">
        <f>B66</f>
        <v>0.114</v>
      </c>
      <c r="I66" s="197">
        <f t="shared" si="9"/>
        <v>0.114</v>
      </c>
      <c r="J66" s="259">
        <f>B66</f>
        <v>0.114</v>
      </c>
      <c r="K66" s="197">
        <f t="shared" si="10"/>
        <v>0.114</v>
      </c>
      <c r="L66" s="259">
        <f>C66</f>
        <v>0.20100000000000001</v>
      </c>
      <c r="M66" s="197">
        <f t="shared" si="11"/>
        <v>0.20100000000000001</v>
      </c>
      <c r="N66" s="242">
        <f>C66</f>
        <v>0.20100000000000001</v>
      </c>
      <c r="O66" s="239">
        <f t="shared" si="12"/>
        <v>0.20100000000000001</v>
      </c>
      <c r="P66" s="242">
        <f>D66</f>
        <v>0.16800000000000001</v>
      </c>
      <c r="Q66" s="197">
        <f t="shared" si="13"/>
        <v>0.16800000000000001</v>
      </c>
      <c r="R66" s="259">
        <f>C66</f>
        <v>0.20100000000000001</v>
      </c>
      <c r="S66" s="197">
        <f t="shared" si="14"/>
        <v>0.20100000000000001</v>
      </c>
    </row>
  </sheetData>
  <sheetProtection password="891C" sheet="1" objects="1" scenarios="1"/>
  <mergeCells count="8">
    <mergeCell ref="P1:Q1"/>
    <mergeCell ref="R1:S1"/>
    <mergeCell ref="A1:E1"/>
    <mergeCell ref="F1:G1"/>
    <mergeCell ref="H1:I1"/>
    <mergeCell ref="J1:K1"/>
    <mergeCell ref="L1:M1"/>
    <mergeCell ref="N1:O1"/>
  </mergeCells>
  <pageMargins left="0.7" right="0.7" top="0.75" bottom="0.75" header="0.3" footer="0.3"/>
  <pageSetup orientation="portrait" verticalDpi="0" r:id="rId1"/>
  <ignoredErrors>
    <ignoredError sqref="H3:R21" formula="1"/>
    <ignoredError sqref="H22:R47 H48:R66" formula="1" formulaRange="1"/>
    <ignoredError sqref="B48:G66 B22:G47"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zoomScale="80" zoomScaleNormal="80" workbookViewId="0">
      <selection activeCell="C2" sqref="C1:C1048576"/>
    </sheetView>
  </sheetViews>
  <sheetFormatPr defaultRowHeight="15" x14ac:dyDescent="0.25"/>
  <cols>
    <col min="1" max="1" width="38" style="233" customWidth="1"/>
    <col min="2" max="43" width="14.7109375" style="4" customWidth="1"/>
    <col min="44" max="16384" width="9.140625" style="4"/>
  </cols>
  <sheetData>
    <row r="1" spans="1:43" x14ac:dyDescent="0.25">
      <c r="A1" s="749" t="s">
        <v>446</v>
      </c>
      <c r="B1" s="747"/>
      <c r="C1" s="747"/>
      <c r="D1" s="747"/>
      <c r="E1" s="747"/>
      <c r="F1" s="747"/>
      <c r="G1" s="747"/>
      <c r="H1" s="747"/>
      <c r="I1" s="747"/>
      <c r="J1" s="747"/>
      <c r="K1" s="747"/>
      <c r="L1" s="748"/>
      <c r="M1" s="749" t="s">
        <v>495</v>
      </c>
      <c r="N1" s="747"/>
      <c r="O1" s="747"/>
      <c r="P1" s="747"/>
      <c r="Q1" s="747"/>
      <c r="R1" s="747"/>
      <c r="S1" s="668" t="s">
        <v>496</v>
      </c>
      <c r="T1" s="669"/>
      <c r="U1" s="669"/>
      <c r="V1" s="670"/>
      <c r="W1" s="750" t="s">
        <v>497</v>
      </c>
      <c r="X1" s="669"/>
      <c r="Y1" s="669"/>
      <c r="Z1" s="670"/>
      <c r="AA1" s="747" t="s">
        <v>498</v>
      </c>
      <c r="AB1" s="747"/>
      <c r="AC1" s="747"/>
      <c r="AD1" s="748"/>
      <c r="AE1" s="749" t="s">
        <v>499</v>
      </c>
      <c r="AF1" s="747"/>
      <c r="AG1" s="747"/>
      <c r="AH1" s="749" t="s">
        <v>500</v>
      </c>
      <c r="AI1" s="747"/>
      <c r="AJ1" s="747"/>
      <c r="AK1" s="748"/>
      <c r="AL1" s="747" t="s">
        <v>501</v>
      </c>
      <c r="AM1" s="747"/>
      <c r="AN1" s="747"/>
      <c r="AO1" s="748"/>
    </row>
    <row r="2" spans="1:43" ht="17.25" x14ac:dyDescent="0.25">
      <c r="A2" s="232"/>
      <c r="B2" s="95">
        <v>1.01</v>
      </c>
      <c r="C2" s="95">
        <v>1.02</v>
      </c>
      <c r="D2" s="95">
        <v>2</v>
      </c>
      <c r="E2" s="95">
        <v>3</v>
      </c>
      <c r="F2" s="95">
        <v>4</v>
      </c>
      <c r="G2" s="95">
        <v>5</v>
      </c>
      <c r="H2" s="95">
        <v>8.02</v>
      </c>
      <c r="I2" s="95">
        <v>9</v>
      </c>
      <c r="J2" s="95">
        <v>10</v>
      </c>
      <c r="K2" s="95">
        <v>11</v>
      </c>
      <c r="L2" s="45" t="s">
        <v>0</v>
      </c>
      <c r="M2" s="231" t="s">
        <v>520</v>
      </c>
      <c r="N2" s="95" t="s">
        <v>528</v>
      </c>
      <c r="O2" s="95">
        <v>4</v>
      </c>
      <c r="P2" s="95">
        <v>5</v>
      </c>
      <c r="Q2" s="95" t="s">
        <v>529</v>
      </c>
      <c r="R2" s="235" t="s">
        <v>519</v>
      </c>
      <c r="S2" s="231" t="s">
        <v>520</v>
      </c>
      <c r="T2" s="95" t="s">
        <v>528</v>
      </c>
      <c r="U2" s="95" t="s">
        <v>532</v>
      </c>
      <c r="V2" s="45" t="s">
        <v>521</v>
      </c>
      <c r="W2" s="252" t="s">
        <v>520</v>
      </c>
      <c r="X2" s="95" t="s">
        <v>523</v>
      </c>
      <c r="Y2" s="95" t="s">
        <v>534</v>
      </c>
      <c r="Z2" s="45" t="s">
        <v>522</v>
      </c>
      <c r="AA2" s="252" t="s">
        <v>525</v>
      </c>
      <c r="AB2" s="95" t="s">
        <v>523</v>
      </c>
      <c r="AC2" s="95" t="s">
        <v>534</v>
      </c>
      <c r="AD2" s="45" t="s">
        <v>524</v>
      </c>
      <c r="AE2" s="231" t="s">
        <v>537</v>
      </c>
      <c r="AF2" s="95" t="s">
        <v>534</v>
      </c>
      <c r="AG2" s="235" t="s">
        <v>526</v>
      </c>
      <c r="AH2" s="231" t="s">
        <v>538</v>
      </c>
      <c r="AI2" s="95">
        <v>10</v>
      </c>
      <c r="AJ2" s="95" t="s">
        <v>539</v>
      </c>
      <c r="AK2" s="45" t="s">
        <v>527</v>
      </c>
      <c r="AL2" s="252" t="s">
        <v>540</v>
      </c>
      <c r="AM2" s="95" t="s">
        <v>523</v>
      </c>
      <c r="AN2" s="95" t="s">
        <v>539</v>
      </c>
      <c r="AO2" s="45" t="s">
        <v>524</v>
      </c>
      <c r="AQ2" s="234"/>
    </row>
    <row r="3" spans="1:43" x14ac:dyDescent="0.25">
      <c r="A3" s="232" t="s">
        <v>1</v>
      </c>
      <c r="B3" s="38">
        <v>3169</v>
      </c>
      <c r="C3" s="38">
        <v>1908</v>
      </c>
      <c r="D3" s="38">
        <v>3541</v>
      </c>
      <c r="E3" s="38">
        <v>3309</v>
      </c>
      <c r="F3" s="38">
        <v>1658</v>
      </c>
      <c r="G3" s="38">
        <v>3336</v>
      </c>
      <c r="H3" s="38">
        <v>4444</v>
      </c>
      <c r="I3" s="38">
        <v>5462</v>
      </c>
      <c r="J3" s="38">
        <v>1540</v>
      </c>
      <c r="K3" s="38">
        <v>4593</v>
      </c>
      <c r="L3" s="42">
        <f t="shared" ref="L3:L36" si="0">SUM(B3:K3)</f>
        <v>32960</v>
      </c>
      <c r="M3" s="243">
        <f t="shared" ref="M3:M36" si="1">(1/3)*B3</f>
        <v>1056.3333333333333</v>
      </c>
      <c r="N3" s="38">
        <f t="shared" ref="N3:N36" si="2">(1/2)*E3</f>
        <v>1654.5</v>
      </c>
      <c r="O3" s="38">
        <f t="shared" ref="O3:O36" si="3">F3</f>
        <v>1658</v>
      </c>
      <c r="P3" s="38">
        <f t="shared" ref="P3:P36" si="4">G3</f>
        <v>3336</v>
      </c>
      <c r="Q3" s="38">
        <f t="shared" ref="Q3:Q36" si="5">(1/2)*H3</f>
        <v>2222</v>
      </c>
      <c r="R3" s="166">
        <f t="shared" ref="R3:R36" si="6">SUM(M3:Q3)</f>
        <v>9926.8333333333321</v>
      </c>
      <c r="S3" s="243">
        <f t="shared" ref="S3:S36" si="7">(1/3)*B3</f>
        <v>1056.3333333333333</v>
      </c>
      <c r="T3" s="38">
        <f t="shared" ref="T3:T36" si="8">(1/2)*E3</f>
        <v>1654.5</v>
      </c>
      <c r="U3" s="38">
        <f t="shared" ref="U3:U36" si="9">(1/2)*H3</f>
        <v>2222</v>
      </c>
      <c r="V3" s="42">
        <f t="shared" ref="V3:V36" si="10">SUM(S3:U3)</f>
        <v>4932.833333333333</v>
      </c>
      <c r="W3" s="167">
        <f t="shared" ref="W3:W36" si="11">(1/3)*B3</f>
        <v>1056.3333333333333</v>
      </c>
      <c r="X3" s="38">
        <f t="shared" ref="X3:X36" si="12">(1/3)*D3</f>
        <v>1180.3333333333333</v>
      </c>
      <c r="Y3" s="38">
        <f t="shared" ref="Y3:Y36" si="13">(1/4)*I3</f>
        <v>1365.5</v>
      </c>
      <c r="Z3" s="42">
        <f t="shared" ref="Z3:Z36" si="14">SUM(W3:Y3)</f>
        <v>3602.1666666666665</v>
      </c>
      <c r="AA3" s="167">
        <f t="shared" ref="AA3:AA36" si="15">(1/2)*C3</f>
        <v>954</v>
      </c>
      <c r="AB3" s="38">
        <f t="shared" ref="AB3:AB36" si="16">(1/3)*D3</f>
        <v>1180.3333333333333</v>
      </c>
      <c r="AC3" s="38">
        <f t="shared" ref="AC3:AC36" si="17">(1/4)*I3</f>
        <v>1365.5</v>
      </c>
      <c r="AD3" s="42">
        <f t="shared" ref="AD3:AD36" si="18">SUM(AA3:AC3)</f>
        <v>3499.833333333333</v>
      </c>
      <c r="AE3" s="243">
        <f t="shared" ref="AE3:AE36" si="19">(1/2)*C3</f>
        <v>954</v>
      </c>
      <c r="AF3" s="38">
        <f t="shared" ref="AF3:AF36" si="20">(1/4)*I3</f>
        <v>1365.5</v>
      </c>
      <c r="AG3" s="166">
        <f t="shared" ref="AG3:AG36" si="21">SUM(AE3:AF3)</f>
        <v>2319.5</v>
      </c>
      <c r="AH3" s="243">
        <f t="shared" ref="AH3:AH36" si="22">(1/4)*I3</f>
        <v>1365.5</v>
      </c>
      <c r="AI3" s="38">
        <f t="shared" ref="AI3:AI36" si="23">J3</f>
        <v>1540</v>
      </c>
      <c r="AJ3" s="38">
        <f t="shared" ref="AJ3:AJ36" si="24">(1/2)*K3</f>
        <v>2296.5</v>
      </c>
      <c r="AK3" s="42">
        <f t="shared" ref="AK3:AK36" si="25">SUM(AH3:AJ3)</f>
        <v>5202</v>
      </c>
      <c r="AL3" s="167">
        <f t="shared" ref="AL3:AL36" si="26">(1/4)*C3</f>
        <v>477</v>
      </c>
      <c r="AM3" s="38">
        <f t="shared" ref="AM3:AM36" si="27">(1/3)*D3</f>
        <v>1180.3333333333333</v>
      </c>
      <c r="AN3" s="38">
        <f t="shared" ref="AN3:AN36" si="28">(1/2)*K3</f>
        <v>2296.5</v>
      </c>
      <c r="AO3" s="42">
        <f t="shared" ref="AO3:AO36" si="29">SUM(AL3:AN3)</f>
        <v>3953.833333333333</v>
      </c>
      <c r="AQ3" s="6"/>
    </row>
    <row r="4" spans="1:43" x14ac:dyDescent="0.25">
      <c r="A4" s="232" t="s">
        <v>2</v>
      </c>
      <c r="B4" s="38">
        <v>117.253</v>
      </c>
      <c r="C4" s="38">
        <v>38.160000000000004</v>
      </c>
      <c r="D4" s="38">
        <v>152.26299999999998</v>
      </c>
      <c r="E4" s="38">
        <v>271.33800000000002</v>
      </c>
      <c r="F4" s="38">
        <v>129.32400000000001</v>
      </c>
      <c r="G4" s="38">
        <v>93.408000000000001</v>
      </c>
      <c r="H4" s="38">
        <v>0</v>
      </c>
      <c r="I4" s="38">
        <v>120.16399999999999</v>
      </c>
      <c r="J4" s="38">
        <v>35.42</v>
      </c>
      <c r="K4" s="38">
        <v>463.89300000000003</v>
      </c>
      <c r="L4" s="42">
        <f t="shared" si="0"/>
        <v>1421.223</v>
      </c>
      <c r="M4" s="243">
        <f t="shared" si="1"/>
        <v>39.084333333333333</v>
      </c>
      <c r="N4" s="38">
        <f t="shared" si="2"/>
        <v>135.66900000000001</v>
      </c>
      <c r="O4" s="38">
        <f t="shared" si="3"/>
        <v>129.32400000000001</v>
      </c>
      <c r="P4" s="38">
        <f t="shared" si="4"/>
        <v>93.408000000000001</v>
      </c>
      <c r="Q4" s="38">
        <f t="shared" si="5"/>
        <v>0</v>
      </c>
      <c r="R4" s="166">
        <f t="shared" si="6"/>
        <v>397.48533333333336</v>
      </c>
      <c r="S4" s="243">
        <f t="shared" si="7"/>
        <v>39.084333333333333</v>
      </c>
      <c r="T4" s="38">
        <f t="shared" si="8"/>
        <v>135.66900000000001</v>
      </c>
      <c r="U4" s="38">
        <f t="shared" si="9"/>
        <v>0</v>
      </c>
      <c r="V4" s="42">
        <f t="shared" si="10"/>
        <v>174.75333333333333</v>
      </c>
      <c r="W4" s="167">
        <f t="shared" si="11"/>
        <v>39.084333333333333</v>
      </c>
      <c r="X4" s="38">
        <f t="shared" si="12"/>
        <v>50.754333333333321</v>
      </c>
      <c r="Y4" s="38">
        <f t="shared" si="13"/>
        <v>30.040999999999997</v>
      </c>
      <c r="Z4" s="42">
        <f t="shared" si="14"/>
        <v>119.87966666666665</v>
      </c>
      <c r="AA4" s="167">
        <f t="shared" si="15"/>
        <v>19.080000000000002</v>
      </c>
      <c r="AB4" s="38">
        <f t="shared" si="16"/>
        <v>50.754333333333321</v>
      </c>
      <c r="AC4" s="38">
        <f t="shared" si="17"/>
        <v>30.040999999999997</v>
      </c>
      <c r="AD4" s="42">
        <f t="shared" si="18"/>
        <v>99.875333333333316</v>
      </c>
      <c r="AE4" s="243">
        <f t="shared" si="19"/>
        <v>19.080000000000002</v>
      </c>
      <c r="AF4" s="38">
        <f t="shared" si="20"/>
        <v>30.040999999999997</v>
      </c>
      <c r="AG4" s="166">
        <f t="shared" si="21"/>
        <v>49.120999999999995</v>
      </c>
      <c r="AH4" s="243">
        <f t="shared" si="22"/>
        <v>30.040999999999997</v>
      </c>
      <c r="AI4" s="38">
        <f t="shared" si="23"/>
        <v>35.42</v>
      </c>
      <c r="AJ4" s="38">
        <f t="shared" si="24"/>
        <v>231.94650000000001</v>
      </c>
      <c r="AK4" s="42">
        <f t="shared" si="25"/>
        <v>297.40750000000003</v>
      </c>
      <c r="AL4" s="167">
        <f t="shared" si="26"/>
        <v>9.5400000000000009</v>
      </c>
      <c r="AM4" s="38">
        <f t="shared" si="27"/>
        <v>50.754333333333321</v>
      </c>
      <c r="AN4" s="38">
        <f t="shared" si="28"/>
        <v>231.94650000000001</v>
      </c>
      <c r="AO4" s="42">
        <f t="shared" si="29"/>
        <v>292.24083333333334</v>
      </c>
    </row>
    <row r="5" spans="1:43" x14ac:dyDescent="0.25">
      <c r="A5" s="232" t="s">
        <v>3</v>
      </c>
      <c r="B5" s="38">
        <v>57.041999999999994</v>
      </c>
      <c r="C5" s="38">
        <v>36.252000000000002</v>
      </c>
      <c r="D5" s="38">
        <v>46.033000000000001</v>
      </c>
      <c r="E5" s="38">
        <v>208.46700000000001</v>
      </c>
      <c r="F5" s="38">
        <v>195.64399999999998</v>
      </c>
      <c r="G5" s="38">
        <v>126.768</v>
      </c>
      <c r="H5" s="38">
        <v>0</v>
      </c>
      <c r="I5" s="38">
        <v>76.468000000000004</v>
      </c>
      <c r="J5" s="38">
        <v>120.12</v>
      </c>
      <c r="K5" s="38">
        <v>220.464</v>
      </c>
      <c r="L5" s="42">
        <f t="shared" si="0"/>
        <v>1087.258</v>
      </c>
      <c r="M5" s="243">
        <f t="shared" si="1"/>
        <v>19.013999999999996</v>
      </c>
      <c r="N5" s="38">
        <f t="shared" si="2"/>
        <v>104.23350000000001</v>
      </c>
      <c r="O5" s="38">
        <f t="shared" si="3"/>
        <v>195.64399999999998</v>
      </c>
      <c r="P5" s="38">
        <f t="shared" si="4"/>
        <v>126.768</v>
      </c>
      <c r="Q5" s="38">
        <f t="shared" si="5"/>
        <v>0</v>
      </c>
      <c r="R5" s="166">
        <f t="shared" si="6"/>
        <v>445.65949999999998</v>
      </c>
      <c r="S5" s="243">
        <f t="shared" si="7"/>
        <v>19.013999999999996</v>
      </c>
      <c r="T5" s="38">
        <f t="shared" si="8"/>
        <v>104.23350000000001</v>
      </c>
      <c r="U5" s="38">
        <f t="shared" si="9"/>
        <v>0</v>
      </c>
      <c r="V5" s="42">
        <f t="shared" si="10"/>
        <v>123.2475</v>
      </c>
      <c r="W5" s="167">
        <f t="shared" si="11"/>
        <v>19.013999999999996</v>
      </c>
      <c r="X5" s="38">
        <f t="shared" si="12"/>
        <v>15.344333333333333</v>
      </c>
      <c r="Y5" s="38">
        <f t="shared" si="13"/>
        <v>19.117000000000001</v>
      </c>
      <c r="Z5" s="42">
        <f t="shared" si="14"/>
        <v>53.475333333333325</v>
      </c>
      <c r="AA5" s="167">
        <f t="shared" si="15"/>
        <v>18.126000000000001</v>
      </c>
      <c r="AB5" s="38">
        <f t="shared" si="16"/>
        <v>15.344333333333333</v>
      </c>
      <c r="AC5" s="38">
        <f t="shared" si="17"/>
        <v>19.117000000000001</v>
      </c>
      <c r="AD5" s="42">
        <f t="shared" si="18"/>
        <v>52.587333333333333</v>
      </c>
      <c r="AE5" s="243">
        <f t="shared" si="19"/>
        <v>18.126000000000001</v>
      </c>
      <c r="AF5" s="38">
        <f t="shared" si="20"/>
        <v>19.117000000000001</v>
      </c>
      <c r="AG5" s="166">
        <f t="shared" si="21"/>
        <v>37.243000000000002</v>
      </c>
      <c r="AH5" s="243">
        <f t="shared" si="22"/>
        <v>19.117000000000001</v>
      </c>
      <c r="AI5" s="38">
        <f t="shared" si="23"/>
        <v>120.12</v>
      </c>
      <c r="AJ5" s="38">
        <f t="shared" si="24"/>
        <v>110.232</v>
      </c>
      <c r="AK5" s="42">
        <f t="shared" si="25"/>
        <v>249.46899999999999</v>
      </c>
      <c r="AL5" s="167">
        <f t="shared" si="26"/>
        <v>9.0630000000000006</v>
      </c>
      <c r="AM5" s="38">
        <f t="shared" si="27"/>
        <v>15.344333333333333</v>
      </c>
      <c r="AN5" s="38">
        <f t="shared" si="28"/>
        <v>110.232</v>
      </c>
      <c r="AO5" s="42">
        <f t="shared" si="29"/>
        <v>134.63933333333333</v>
      </c>
    </row>
    <row r="6" spans="1:43" x14ac:dyDescent="0.25">
      <c r="A6" s="232" t="s">
        <v>4</v>
      </c>
      <c r="B6" s="38">
        <v>117.253</v>
      </c>
      <c r="C6" s="38">
        <v>34.343999999999994</v>
      </c>
      <c r="D6" s="38">
        <v>31.868999999999996</v>
      </c>
      <c r="E6" s="38">
        <v>241.55699999999999</v>
      </c>
      <c r="F6" s="38">
        <v>112.74400000000001</v>
      </c>
      <c r="G6" s="38">
        <v>116.76</v>
      </c>
      <c r="H6" s="38">
        <v>0</v>
      </c>
      <c r="I6" s="38">
        <v>92.854000000000013</v>
      </c>
      <c r="J6" s="38">
        <v>141.68</v>
      </c>
      <c r="K6" s="38">
        <v>372.03300000000002</v>
      </c>
      <c r="L6" s="42">
        <f t="shared" si="0"/>
        <v>1261.0940000000001</v>
      </c>
      <c r="M6" s="243">
        <f t="shared" si="1"/>
        <v>39.084333333333333</v>
      </c>
      <c r="N6" s="38">
        <f t="shared" si="2"/>
        <v>120.77849999999999</v>
      </c>
      <c r="O6" s="38">
        <f t="shared" si="3"/>
        <v>112.74400000000001</v>
      </c>
      <c r="P6" s="38">
        <f t="shared" si="4"/>
        <v>116.76</v>
      </c>
      <c r="Q6" s="38">
        <f t="shared" si="5"/>
        <v>0</v>
      </c>
      <c r="R6" s="166">
        <f t="shared" si="6"/>
        <v>389.36683333333332</v>
      </c>
      <c r="S6" s="243">
        <f t="shared" si="7"/>
        <v>39.084333333333333</v>
      </c>
      <c r="T6" s="38">
        <f t="shared" si="8"/>
        <v>120.77849999999999</v>
      </c>
      <c r="U6" s="38">
        <f t="shared" si="9"/>
        <v>0</v>
      </c>
      <c r="V6" s="42">
        <f t="shared" si="10"/>
        <v>159.86283333333333</v>
      </c>
      <c r="W6" s="167">
        <f t="shared" si="11"/>
        <v>39.084333333333333</v>
      </c>
      <c r="X6" s="38">
        <f t="shared" si="12"/>
        <v>10.622999999999998</v>
      </c>
      <c r="Y6" s="38">
        <f t="shared" si="13"/>
        <v>23.213500000000003</v>
      </c>
      <c r="Z6" s="42">
        <f t="shared" si="14"/>
        <v>72.920833333333334</v>
      </c>
      <c r="AA6" s="167">
        <f t="shared" si="15"/>
        <v>17.171999999999997</v>
      </c>
      <c r="AB6" s="38">
        <f t="shared" si="16"/>
        <v>10.622999999999998</v>
      </c>
      <c r="AC6" s="38">
        <f t="shared" si="17"/>
        <v>23.213500000000003</v>
      </c>
      <c r="AD6" s="42">
        <f t="shared" si="18"/>
        <v>51.008499999999998</v>
      </c>
      <c r="AE6" s="243">
        <f t="shared" si="19"/>
        <v>17.171999999999997</v>
      </c>
      <c r="AF6" s="38">
        <f t="shared" si="20"/>
        <v>23.213500000000003</v>
      </c>
      <c r="AG6" s="166">
        <f t="shared" si="21"/>
        <v>40.3855</v>
      </c>
      <c r="AH6" s="243">
        <f t="shared" si="22"/>
        <v>23.213500000000003</v>
      </c>
      <c r="AI6" s="38">
        <f t="shared" si="23"/>
        <v>141.68</v>
      </c>
      <c r="AJ6" s="38">
        <f t="shared" si="24"/>
        <v>186.01650000000001</v>
      </c>
      <c r="AK6" s="42">
        <f t="shared" si="25"/>
        <v>350.91</v>
      </c>
      <c r="AL6" s="167">
        <f t="shared" si="26"/>
        <v>8.5859999999999985</v>
      </c>
      <c r="AM6" s="38">
        <f t="shared" si="27"/>
        <v>10.622999999999998</v>
      </c>
      <c r="AN6" s="38">
        <f t="shared" si="28"/>
        <v>186.01650000000001</v>
      </c>
      <c r="AO6" s="42">
        <f t="shared" si="29"/>
        <v>205.22550000000001</v>
      </c>
    </row>
    <row r="7" spans="1:43" x14ac:dyDescent="0.25">
      <c r="A7" s="232" t="s">
        <v>5</v>
      </c>
      <c r="B7" s="38">
        <v>104.577</v>
      </c>
      <c r="C7" s="38">
        <v>17.171999999999997</v>
      </c>
      <c r="D7" s="38">
        <v>750.69200000000001</v>
      </c>
      <c r="E7" s="38">
        <v>119.124</v>
      </c>
      <c r="F7" s="38">
        <v>89.531999999999996</v>
      </c>
      <c r="G7" s="38">
        <v>183.48</v>
      </c>
      <c r="H7" s="38">
        <v>1857.5919999999999</v>
      </c>
      <c r="I7" s="38">
        <v>611.74400000000003</v>
      </c>
      <c r="J7" s="38">
        <v>64.680000000000007</v>
      </c>
      <c r="K7" s="38">
        <v>372.03300000000002</v>
      </c>
      <c r="L7" s="42">
        <f t="shared" si="0"/>
        <v>4170.6260000000002</v>
      </c>
      <c r="M7" s="243">
        <f t="shared" si="1"/>
        <v>34.858999999999995</v>
      </c>
      <c r="N7" s="38">
        <f t="shared" si="2"/>
        <v>59.561999999999998</v>
      </c>
      <c r="O7" s="38">
        <f t="shared" si="3"/>
        <v>89.531999999999996</v>
      </c>
      <c r="P7" s="38">
        <f t="shared" si="4"/>
        <v>183.48</v>
      </c>
      <c r="Q7" s="38">
        <f t="shared" si="5"/>
        <v>928.79599999999994</v>
      </c>
      <c r="R7" s="166">
        <f t="shared" si="6"/>
        <v>1296.2289999999998</v>
      </c>
      <c r="S7" s="243">
        <f t="shared" si="7"/>
        <v>34.858999999999995</v>
      </c>
      <c r="T7" s="38">
        <f t="shared" si="8"/>
        <v>59.561999999999998</v>
      </c>
      <c r="U7" s="38">
        <f t="shared" si="9"/>
        <v>928.79599999999994</v>
      </c>
      <c r="V7" s="42">
        <f t="shared" si="10"/>
        <v>1023.2169999999999</v>
      </c>
      <c r="W7" s="167">
        <f t="shared" si="11"/>
        <v>34.858999999999995</v>
      </c>
      <c r="X7" s="38">
        <f t="shared" si="12"/>
        <v>250.23066666666665</v>
      </c>
      <c r="Y7" s="38">
        <f t="shared" si="13"/>
        <v>152.93600000000001</v>
      </c>
      <c r="Z7" s="42">
        <f t="shared" si="14"/>
        <v>438.02566666666667</v>
      </c>
      <c r="AA7" s="167">
        <f t="shared" si="15"/>
        <v>8.5859999999999985</v>
      </c>
      <c r="AB7" s="38">
        <f t="shared" si="16"/>
        <v>250.23066666666665</v>
      </c>
      <c r="AC7" s="38">
        <f t="shared" si="17"/>
        <v>152.93600000000001</v>
      </c>
      <c r="AD7" s="42">
        <f t="shared" si="18"/>
        <v>411.75266666666664</v>
      </c>
      <c r="AE7" s="243">
        <f t="shared" si="19"/>
        <v>8.5859999999999985</v>
      </c>
      <c r="AF7" s="38">
        <f t="shared" si="20"/>
        <v>152.93600000000001</v>
      </c>
      <c r="AG7" s="166">
        <f t="shared" si="21"/>
        <v>161.52199999999999</v>
      </c>
      <c r="AH7" s="243">
        <f t="shared" si="22"/>
        <v>152.93600000000001</v>
      </c>
      <c r="AI7" s="38">
        <f t="shared" si="23"/>
        <v>64.680000000000007</v>
      </c>
      <c r="AJ7" s="38">
        <f t="shared" si="24"/>
        <v>186.01650000000001</v>
      </c>
      <c r="AK7" s="42">
        <f t="shared" si="25"/>
        <v>403.63250000000005</v>
      </c>
      <c r="AL7" s="167">
        <f t="shared" si="26"/>
        <v>4.2929999999999993</v>
      </c>
      <c r="AM7" s="38">
        <f t="shared" si="27"/>
        <v>250.23066666666665</v>
      </c>
      <c r="AN7" s="38">
        <f t="shared" si="28"/>
        <v>186.01650000000001</v>
      </c>
      <c r="AO7" s="42">
        <f t="shared" si="29"/>
        <v>440.54016666666666</v>
      </c>
    </row>
    <row r="8" spans="1:43" x14ac:dyDescent="0.25">
      <c r="A8" s="232" t="s">
        <v>6</v>
      </c>
      <c r="B8" s="38">
        <v>947.53099999999995</v>
      </c>
      <c r="C8" s="38">
        <v>228.95999999999998</v>
      </c>
      <c r="D8" s="38">
        <v>584.26499999999999</v>
      </c>
      <c r="E8" s="38">
        <v>251.48399999999998</v>
      </c>
      <c r="F8" s="38">
        <v>187.35400000000001</v>
      </c>
      <c r="G8" s="38">
        <v>236.85599999999997</v>
      </c>
      <c r="H8" s="38">
        <v>1919.808</v>
      </c>
      <c r="I8" s="38">
        <v>3249.89</v>
      </c>
      <c r="J8" s="38">
        <v>255.64000000000001</v>
      </c>
      <c r="K8" s="38">
        <v>160.75500000000002</v>
      </c>
      <c r="L8" s="42">
        <f t="shared" si="0"/>
        <v>8022.5429999999997</v>
      </c>
      <c r="M8" s="243">
        <f t="shared" si="1"/>
        <v>315.84366666666665</v>
      </c>
      <c r="N8" s="38">
        <f t="shared" si="2"/>
        <v>125.74199999999999</v>
      </c>
      <c r="O8" s="38">
        <f t="shared" si="3"/>
        <v>187.35400000000001</v>
      </c>
      <c r="P8" s="38">
        <f t="shared" si="4"/>
        <v>236.85599999999997</v>
      </c>
      <c r="Q8" s="38">
        <f t="shared" si="5"/>
        <v>959.904</v>
      </c>
      <c r="R8" s="166">
        <f t="shared" si="6"/>
        <v>1825.6996666666666</v>
      </c>
      <c r="S8" s="243">
        <f t="shared" si="7"/>
        <v>315.84366666666665</v>
      </c>
      <c r="T8" s="38">
        <f t="shared" si="8"/>
        <v>125.74199999999999</v>
      </c>
      <c r="U8" s="38">
        <f t="shared" si="9"/>
        <v>959.904</v>
      </c>
      <c r="V8" s="42">
        <f t="shared" si="10"/>
        <v>1401.4896666666666</v>
      </c>
      <c r="W8" s="167">
        <f t="shared" si="11"/>
        <v>315.84366666666665</v>
      </c>
      <c r="X8" s="38">
        <f t="shared" si="12"/>
        <v>194.755</v>
      </c>
      <c r="Y8" s="38">
        <f t="shared" si="13"/>
        <v>812.47249999999997</v>
      </c>
      <c r="Z8" s="42">
        <f t="shared" si="14"/>
        <v>1323.0711666666666</v>
      </c>
      <c r="AA8" s="167">
        <f t="shared" si="15"/>
        <v>114.47999999999999</v>
      </c>
      <c r="AB8" s="38">
        <f t="shared" si="16"/>
        <v>194.755</v>
      </c>
      <c r="AC8" s="38">
        <f t="shared" si="17"/>
        <v>812.47249999999997</v>
      </c>
      <c r="AD8" s="42">
        <f t="shared" si="18"/>
        <v>1121.7075</v>
      </c>
      <c r="AE8" s="243">
        <f t="shared" si="19"/>
        <v>114.47999999999999</v>
      </c>
      <c r="AF8" s="38">
        <f t="shared" si="20"/>
        <v>812.47249999999997</v>
      </c>
      <c r="AG8" s="166">
        <f t="shared" si="21"/>
        <v>926.95249999999999</v>
      </c>
      <c r="AH8" s="243">
        <f t="shared" si="22"/>
        <v>812.47249999999997</v>
      </c>
      <c r="AI8" s="38">
        <f t="shared" si="23"/>
        <v>255.64000000000001</v>
      </c>
      <c r="AJ8" s="38">
        <f t="shared" si="24"/>
        <v>80.377500000000012</v>
      </c>
      <c r="AK8" s="42">
        <f t="shared" si="25"/>
        <v>1148.49</v>
      </c>
      <c r="AL8" s="167">
        <f t="shared" si="26"/>
        <v>57.239999999999995</v>
      </c>
      <c r="AM8" s="38">
        <f t="shared" si="27"/>
        <v>194.755</v>
      </c>
      <c r="AN8" s="38">
        <f t="shared" si="28"/>
        <v>80.377500000000012</v>
      </c>
      <c r="AO8" s="42">
        <f t="shared" si="29"/>
        <v>332.3725</v>
      </c>
    </row>
    <row r="9" spans="1:43" x14ac:dyDescent="0.25">
      <c r="A9" s="232" t="s">
        <v>7</v>
      </c>
      <c r="B9" s="38">
        <v>304.22399999999999</v>
      </c>
      <c r="C9" s="38">
        <v>198.43199999999999</v>
      </c>
      <c r="D9" s="38">
        <v>329.31299999999999</v>
      </c>
      <c r="E9" s="38">
        <v>271.33800000000002</v>
      </c>
      <c r="F9" s="38">
        <v>149.22</v>
      </c>
      <c r="G9" s="38">
        <v>293.56799999999998</v>
      </c>
      <c r="H9" s="38">
        <v>271.084</v>
      </c>
      <c r="I9" s="38">
        <v>409.65</v>
      </c>
      <c r="J9" s="38">
        <v>167.86</v>
      </c>
      <c r="K9" s="38">
        <v>220.464</v>
      </c>
      <c r="L9" s="42">
        <f t="shared" si="0"/>
        <v>2615.1530000000002</v>
      </c>
      <c r="M9" s="243">
        <f t="shared" si="1"/>
        <v>101.40799999999999</v>
      </c>
      <c r="N9" s="38">
        <f t="shared" si="2"/>
        <v>135.66900000000001</v>
      </c>
      <c r="O9" s="38">
        <f t="shared" si="3"/>
        <v>149.22</v>
      </c>
      <c r="P9" s="38">
        <f t="shared" si="4"/>
        <v>293.56799999999998</v>
      </c>
      <c r="Q9" s="38">
        <f t="shared" si="5"/>
        <v>135.542</v>
      </c>
      <c r="R9" s="166">
        <f t="shared" si="6"/>
        <v>815.40700000000004</v>
      </c>
      <c r="S9" s="243">
        <f t="shared" si="7"/>
        <v>101.40799999999999</v>
      </c>
      <c r="T9" s="38">
        <f t="shared" si="8"/>
        <v>135.66900000000001</v>
      </c>
      <c r="U9" s="38">
        <f t="shared" si="9"/>
        <v>135.542</v>
      </c>
      <c r="V9" s="42">
        <f t="shared" si="10"/>
        <v>372.61900000000003</v>
      </c>
      <c r="W9" s="167">
        <f t="shared" si="11"/>
        <v>101.40799999999999</v>
      </c>
      <c r="X9" s="38">
        <f t="shared" si="12"/>
        <v>109.77099999999999</v>
      </c>
      <c r="Y9" s="38">
        <f t="shared" si="13"/>
        <v>102.41249999999999</v>
      </c>
      <c r="Z9" s="42">
        <f t="shared" si="14"/>
        <v>313.5915</v>
      </c>
      <c r="AA9" s="167">
        <f t="shared" si="15"/>
        <v>99.215999999999994</v>
      </c>
      <c r="AB9" s="38">
        <f t="shared" si="16"/>
        <v>109.77099999999999</v>
      </c>
      <c r="AC9" s="38">
        <f t="shared" si="17"/>
        <v>102.41249999999999</v>
      </c>
      <c r="AD9" s="42">
        <f t="shared" si="18"/>
        <v>311.39949999999999</v>
      </c>
      <c r="AE9" s="243">
        <f t="shared" si="19"/>
        <v>99.215999999999994</v>
      </c>
      <c r="AF9" s="38">
        <f t="shared" si="20"/>
        <v>102.41249999999999</v>
      </c>
      <c r="AG9" s="166">
        <f t="shared" si="21"/>
        <v>201.62849999999997</v>
      </c>
      <c r="AH9" s="243">
        <f t="shared" si="22"/>
        <v>102.41249999999999</v>
      </c>
      <c r="AI9" s="38">
        <f t="shared" si="23"/>
        <v>167.86</v>
      </c>
      <c r="AJ9" s="38">
        <f t="shared" si="24"/>
        <v>110.232</v>
      </c>
      <c r="AK9" s="42">
        <f t="shared" si="25"/>
        <v>380.50450000000001</v>
      </c>
      <c r="AL9" s="167">
        <f t="shared" si="26"/>
        <v>49.607999999999997</v>
      </c>
      <c r="AM9" s="38">
        <f t="shared" si="27"/>
        <v>109.77099999999999</v>
      </c>
      <c r="AN9" s="38">
        <f t="shared" si="28"/>
        <v>110.232</v>
      </c>
      <c r="AO9" s="42">
        <f t="shared" si="29"/>
        <v>269.61099999999999</v>
      </c>
    </row>
    <row r="10" spans="1:43" x14ac:dyDescent="0.25">
      <c r="A10" s="232" t="s">
        <v>8</v>
      </c>
      <c r="B10" s="38">
        <v>145.774</v>
      </c>
      <c r="C10" s="38">
        <v>108.756</v>
      </c>
      <c r="D10" s="38">
        <v>300.98500000000001</v>
      </c>
      <c r="E10" s="38">
        <v>185.304</v>
      </c>
      <c r="F10" s="38">
        <v>71.293999999999997</v>
      </c>
      <c r="G10" s="38">
        <v>266.88</v>
      </c>
      <c r="H10" s="38">
        <v>79.99199999999999</v>
      </c>
      <c r="I10" s="38">
        <v>229.40400000000002</v>
      </c>
      <c r="J10" s="38">
        <v>73.92</v>
      </c>
      <c r="K10" s="38">
        <v>509.82299999999998</v>
      </c>
      <c r="L10" s="42">
        <f t="shared" si="0"/>
        <v>1972.1320000000001</v>
      </c>
      <c r="M10" s="243">
        <f t="shared" si="1"/>
        <v>48.591333333333331</v>
      </c>
      <c r="N10" s="38">
        <f t="shared" si="2"/>
        <v>92.652000000000001</v>
      </c>
      <c r="O10" s="38">
        <f t="shared" si="3"/>
        <v>71.293999999999997</v>
      </c>
      <c r="P10" s="38">
        <f t="shared" si="4"/>
        <v>266.88</v>
      </c>
      <c r="Q10" s="38">
        <f t="shared" si="5"/>
        <v>39.995999999999995</v>
      </c>
      <c r="R10" s="166">
        <f t="shared" si="6"/>
        <v>519.4133333333333</v>
      </c>
      <c r="S10" s="243">
        <f t="shared" si="7"/>
        <v>48.591333333333331</v>
      </c>
      <c r="T10" s="38">
        <f t="shared" si="8"/>
        <v>92.652000000000001</v>
      </c>
      <c r="U10" s="38">
        <f t="shared" si="9"/>
        <v>39.995999999999995</v>
      </c>
      <c r="V10" s="42">
        <f t="shared" si="10"/>
        <v>181.23933333333332</v>
      </c>
      <c r="W10" s="167">
        <f t="shared" si="11"/>
        <v>48.591333333333331</v>
      </c>
      <c r="X10" s="38">
        <f t="shared" si="12"/>
        <v>100.32833333333333</v>
      </c>
      <c r="Y10" s="38">
        <f t="shared" si="13"/>
        <v>57.351000000000006</v>
      </c>
      <c r="Z10" s="42">
        <f t="shared" si="14"/>
        <v>206.27066666666667</v>
      </c>
      <c r="AA10" s="167">
        <f t="shared" si="15"/>
        <v>54.378</v>
      </c>
      <c r="AB10" s="38">
        <f t="shared" si="16"/>
        <v>100.32833333333333</v>
      </c>
      <c r="AC10" s="38">
        <f t="shared" si="17"/>
        <v>57.351000000000006</v>
      </c>
      <c r="AD10" s="42">
        <f t="shared" si="18"/>
        <v>212.05733333333333</v>
      </c>
      <c r="AE10" s="243">
        <f t="shared" si="19"/>
        <v>54.378</v>
      </c>
      <c r="AF10" s="38">
        <f t="shared" si="20"/>
        <v>57.351000000000006</v>
      </c>
      <c r="AG10" s="166">
        <f t="shared" si="21"/>
        <v>111.72900000000001</v>
      </c>
      <c r="AH10" s="243">
        <f t="shared" si="22"/>
        <v>57.351000000000006</v>
      </c>
      <c r="AI10" s="38">
        <f t="shared" si="23"/>
        <v>73.92</v>
      </c>
      <c r="AJ10" s="38">
        <f t="shared" si="24"/>
        <v>254.91149999999999</v>
      </c>
      <c r="AK10" s="42">
        <f t="shared" si="25"/>
        <v>386.1825</v>
      </c>
      <c r="AL10" s="167">
        <f t="shared" si="26"/>
        <v>27.189</v>
      </c>
      <c r="AM10" s="38">
        <f t="shared" si="27"/>
        <v>100.32833333333333</v>
      </c>
      <c r="AN10" s="38">
        <f t="shared" si="28"/>
        <v>254.91149999999999</v>
      </c>
      <c r="AO10" s="42">
        <f t="shared" si="29"/>
        <v>382.42883333333333</v>
      </c>
    </row>
    <row r="11" spans="1:43" x14ac:dyDescent="0.25">
      <c r="A11" s="232" t="s">
        <v>9</v>
      </c>
      <c r="B11" s="38">
        <v>209.154</v>
      </c>
      <c r="C11" s="38">
        <v>196.524</v>
      </c>
      <c r="D11" s="38">
        <v>169.96800000000002</v>
      </c>
      <c r="E11" s="38">
        <v>145.596</v>
      </c>
      <c r="F11" s="38">
        <v>112.74400000000001</v>
      </c>
      <c r="G11" s="38">
        <v>286.89599999999996</v>
      </c>
      <c r="H11" s="38">
        <v>75.548000000000002</v>
      </c>
      <c r="I11" s="38">
        <v>136.55000000000001</v>
      </c>
      <c r="J11" s="38">
        <v>118.58</v>
      </c>
      <c r="K11" s="38">
        <v>289.35899999999998</v>
      </c>
      <c r="L11" s="42">
        <f t="shared" si="0"/>
        <v>1740.9189999999999</v>
      </c>
      <c r="M11" s="243">
        <f t="shared" si="1"/>
        <v>69.717999999999989</v>
      </c>
      <c r="N11" s="38">
        <f t="shared" si="2"/>
        <v>72.798000000000002</v>
      </c>
      <c r="O11" s="38">
        <f t="shared" si="3"/>
        <v>112.74400000000001</v>
      </c>
      <c r="P11" s="38">
        <f t="shared" si="4"/>
        <v>286.89599999999996</v>
      </c>
      <c r="Q11" s="38">
        <f t="shared" si="5"/>
        <v>37.774000000000001</v>
      </c>
      <c r="R11" s="166">
        <f t="shared" si="6"/>
        <v>579.92999999999995</v>
      </c>
      <c r="S11" s="243">
        <f t="shared" si="7"/>
        <v>69.717999999999989</v>
      </c>
      <c r="T11" s="38">
        <f t="shared" si="8"/>
        <v>72.798000000000002</v>
      </c>
      <c r="U11" s="38">
        <f t="shared" si="9"/>
        <v>37.774000000000001</v>
      </c>
      <c r="V11" s="42">
        <f t="shared" si="10"/>
        <v>180.29</v>
      </c>
      <c r="W11" s="167">
        <f t="shared" si="11"/>
        <v>69.717999999999989</v>
      </c>
      <c r="X11" s="38">
        <f t="shared" si="12"/>
        <v>56.656000000000006</v>
      </c>
      <c r="Y11" s="38">
        <f t="shared" si="13"/>
        <v>34.137500000000003</v>
      </c>
      <c r="Z11" s="42">
        <f t="shared" si="14"/>
        <v>160.51150000000001</v>
      </c>
      <c r="AA11" s="167">
        <f t="shared" si="15"/>
        <v>98.262</v>
      </c>
      <c r="AB11" s="38">
        <f t="shared" si="16"/>
        <v>56.656000000000006</v>
      </c>
      <c r="AC11" s="38">
        <f t="shared" si="17"/>
        <v>34.137500000000003</v>
      </c>
      <c r="AD11" s="42">
        <f t="shared" si="18"/>
        <v>189.05549999999999</v>
      </c>
      <c r="AE11" s="243">
        <f t="shared" si="19"/>
        <v>98.262</v>
      </c>
      <c r="AF11" s="38">
        <f t="shared" si="20"/>
        <v>34.137500000000003</v>
      </c>
      <c r="AG11" s="166">
        <f t="shared" si="21"/>
        <v>132.39949999999999</v>
      </c>
      <c r="AH11" s="243">
        <f t="shared" si="22"/>
        <v>34.137500000000003</v>
      </c>
      <c r="AI11" s="38">
        <f t="shared" si="23"/>
        <v>118.58</v>
      </c>
      <c r="AJ11" s="38">
        <f t="shared" si="24"/>
        <v>144.67949999999999</v>
      </c>
      <c r="AK11" s="42">
        <f t="shared" si="25"/>
        <v>297.39699999999999</v>
      </c>
      <c r="AL11" s="167">
        <f t="shared" si="26"/>
        <v>49.131</v>
      </c>
      <c r="AM11" s="38">
        <f t="shared" si="27"/>
        <v>56.656000000000006</v>
      </c>
      <c r="AN11" s="38">
        <f t="shared" si="28"/>
        <v>144.67949999999999</v>
      </c>
      <c r="AO11" s="42">
        <f t="shared" si="29"/>
        <v>250.4665</v>
      </c>
    </row>
    <row r="12" spans="1:43" x14ac:dyDescent="0.25">
      <c r="A12" s="232" t="s">
        <v>10</v>
      </c>
      <c r="B12" s="38">
        <v>85.563000000000002</v>
      </c>
      <c r="C12" s="38">
        <v>156.45600000000002</v>
      </c>
      <c r="D12" s="38">
        <v>226.624</v>
      </c>
      <c r="E12" s="38">
        <v>145.596</v>
      </c>
      <c r="F12" s="38">
        <v>119.37599999999999</v>
      </c>
      <c r="G12" s="38">
        <v>316.92</v>
      </c>
      <c r="H12" s="38">
        <v>53.328000000000003</v>
      </c>
      <c r="I12" s="38">
        <v>87.391999999999996</v>
      </c>
      <c r="J12" s="38">
        <v>55.44</v>
      </c>
      <c r="K12" s="38">
        <v>275.58</v>
      </c>
      <c r="L12" s="42">
        <f t="shared" si="0"/>
        <v>1522.2750000000001</v>
      </c>
      <c r="M12" s="243">
        <f t="shared" si="1"/>
        <v>28.521000000000001</v>
      </c>
      <c r="N12" s="38">
        <f t="shared" si="2"/>
        <v>72.798000000000002</v>
      </c>
      <c r="O12" s="38">
        <f t="shared" si="3"/>
        <v>119.37599999999999</v>
      </c>
      <c r="P12" s="38">
        <f t="shared" si="4"/>
        <v>316.92</v>
      </c>
      <c r="Q12" s="38">
        <f t="shared" si="5"/>
        <v>26.664000000000001</v>
      </c>
      <c r="R12" s="166">
        <f t="shared" si="6"/>
        <v>564.279</v>
      </c>
      <c r="S12" s="243">
        <f t="shared" si="7"/>
        <v>28.521000000000001</v>
      </c>
      <c r="T12" s="38">
        <f t="shared" si="8"/>
        <v>72.798000000000002</v>
      </c>
      <c r="U12" s="38">
        <f t="shared" si="9"/>
        <v>26.664000000000001</v>
      </c>
      <c r="V12" s="42">
        <f t="shared" si="10"/>
        <v>127.983</v>
      </c>
      <c r="W12" s="167">
        <f t="shared" si="11"/>
        <v>28.521000000000001</v>
      </c>
      <c r="X12" s="38">
        <f t="shared" si="12"/>
        <v>75.541333333333327</v>
      </c>
      <c r="Y12" s="38">
        <f t="shared" si="13"/>
        <v>21.847999999999999</v>
      </c>
      <c r="Z12" s="42">
        <f t="shared" si="14"/>
        <v>125.91033333333333</v>
      </c>
      <c r="AA12" s="167">
        <f t="shared" si="15"/>
        <v>78.228000000000009</v>
      </c>
      <c r="AB12" s="38">
        <f t="shared" si="16"/>
        <v>75.541333333333327</v>
      </c>
      <c r="AC12" s="38">
        <f t="shared" si="17"/>
        <v>21.847999999999999</v>
      </c>
      <c r="AD12" s="42">
        <f t="shared" si="18"/>
        <v>175.61733333333336</v>
      </c>
      <c r="AE12" s="243">
        <f t="shared" si="19"/>
        <v>78.228000000000009</v>
      </c>
      <c r="AF12" s="38">
        <f t="shared" si="20"/>
        <v>21.847999999999999</v>
      </c>
      <c r="AG12" s="166">
        <f t="shared" si="21"/>
        <v>100.07600000000001</v>
      </c>
      <c r="AH12" s="243">
        <f t="shared" si="22"/>
        <v>21.847999999999999</v>
      </c>
      <c r="AI12" s="38">
        <f t="shared" si="23"/>
        <v>55.44</v>
      </c>
      <c r="AJ12" s="38">
        <f t="shared" si="24"/>
        <v>137.79</v>
      </c>
      <c r="AK12" s="42">
        <f t="shared" si="25"/>
        <v>215.07799999999997</v>
      </c>
      <c r="AL12" s="167">
        <f t="shared" si="26"/>
        <v>39.114000000000004</v>
      </c>
      <c r="AM12" s="38">
        <f t="shared" si="27"/>
        <v>75.541333333333327</v>
      </c>
      <c r="AN12" s="38">
        <f t="shared" si="28"/>
        <v>137.79</v>
      </c>
      <c r="AO12" s="42">
        <f t="shared" si="29"/>
        <v>252.44533333333334</v>
      </c>
    </row>
    <row r="13" spans="1:43" x14ac:dyDescent="0.25">
      <c r="A13" s="232" t="s">
        <v>11</v>
      </c>
      <c r="B13" s="38">
        <v>98.239000000000004</v>
      </c>
      <c r="C13" s="38">
        <v>122.11200000000001</v>
      </c>
      <c r="D13" s="38">
        <v>233.70600000000002</v>
      </c>
      <c r="E13" s="38">
        <v>360.68099999999998</v>
      </c>
      <c r="F13" s="38">
        <v>44.765999999999998</v>
      </c>
      <c r="G13" s="38">
        <v>216.84</v>
      </c>
      <c r="H13" s="38">
        <v>44.44</v>
      </c>
      <c r="I13" s="38">
        <v>76.468000000000004</v>
      </c>
      <c r="J13" s="38">
        <v>72.38</v>
      </c>
      <c r="K13" s="38">
        <v>257.20800000000003</v>
      </c>
      <c r="L13" s="42">
        <f t="shared" si="0"/>
        <v>1526.8400000000001</v>
      </c>
      <c r="M13" s="243">
        <f t="shared" si="1"/>
        <v>32.746333333333332</v>
      </c>
      <c r="N13" s="38">
        <f t="shared" si="2"/>
        <v>180.34049999999999</v>
      </c>
      <c r="O13" s="38">
        <f t="shared" si="3"/>
        <v>44.765999999999998</v>
      </c>
      <c r="P13" s="38">
        <f t="shared" si="4"/>
        <v>216.84</v>
      </c>
      <c r="Q13" s="38">
        <f t="shared" si="5"/>
        <v>22.22</v>
      </c>
      <c r="R13" s="166">
        <f t="shared" si="6"/>
        <v>496.91283333333331</v>
      </c>
      <c r="S13" s="243">
        <f t="shared" si="7"/>
        <v>32.746333333333332</v>
      </c>
      <c r="T13" s="38">
        <f t="shared" si="8"/>
        <v>180.34049999999999</v>
      </c>
      <c r="U13" s="38">
        <f t="shared" si="9"/>
        <v>22.22</v>
      </c>
      <c r="V13" s="42">
        <f t="shared" si="10"/>
        <v>235.30683333333332</v>
      </c>
      <c r="W13" s="167">
        <f t="shared" si="11"/>
        <v>32.746333333333332</v>
      </c>
      <c r="X13" s="38">
        <f t="shared" si="12"/>
        <v>77.902000000000001</v>
      </c>
      <c r="Y13" s="38">
        <f t="shared" si="13"/>
        <v>19.117000000000001</v>
      </c>
      <c r="Z13" s="42">
        <f t="shared" si="14"/>
        <v>129.76533333333333</v>
      </c>
      <c r="AA13" s="167">
        <f t="shared" si="15"/>
        <v>61.056000000000004</v>
      </c>
      <c r="AB13" s="38">
        <f t="shared" si="16"/>
        <v>77.902000000000001</v>
      </c>
      <c r="AC13" s="38">
        <f t="shared" si="17"/>
        <v>19.117000000000001</v>
      </c>
      <c r="AD13" s="42">
        <f t="shared" si="18"/>
        <v>158.07499999999999</v>
      </c>
      <c r="AE13" s="243">
        <f t="shared" si="19"/>
        <v>61.056000000000004</v>
      </c>
      <c r="AF13" s="38">
        <f t="shared" si="20"/>
        <v>19.117000000000001</v>
      </c>
      <c r="AG13" s="166">
        <f t="shared" si="21"/>
        <v>80.173000000000002</v>
      </c>
      <c r="AH13" s="243">
        <f t="shared" si="22"/>
        <v>19.117000000000001</v>
      </c>
      <c r="AI13" s="38">
        <f t="shared" si="23"/>
        <v>72.38</v>
      </c>
      <c r="AJ13" s="38">
        <f t="shared" si="24"/>
        <v>128.60400000000001</v>
      </c>
      <c r="AK13" s="42">
        <f t="shared" si="25"/>
        <v>220.101</v>
      </c>
      <c r="AL13" s="167">
        <f t="shared" si="26"/>
        <v>30.528000000000002</v>
      </c>
      <c r="AM13" s="38">
        <f t="shared" si="27"/>
        <v>77.902000000000001</v>
      </c>
      <c r="AN13" s="38">
        <f t="shared" si="28"/>
        <v>128.60400000000001</v>
      </c>
      <c r="AO13" s="42">
        <f t="shared" si="29"/>
        <v>237.03400000000002</v>
      </c>
    </row>
    <row r="14" spans="1:43" x14ac:dyDescent="0.25">
      <c r="A14" s="232" t="s">
        <v>12</v>
      </c>
      <c r="B14" s="38">
        <v>205.98500000000001</v>
      </c>
      <c r="C14" s="38">
        <v>103.032</v>
      </c>
      <c r="D14" s="38">
        <v>191.214</v>
      </c>
      <c r="E14" s="38">
        <v>390.46199999999999</v>
      </c>
      <c r="F14" s="38">
        <v>114.40200000000002</v>
      </c>
      <c r="G14" s="38">
        <v>266.88</v>
      </c>
      <c r="H14" s="38">
        <v>39.995999999999995</v>
      </c>
      <c r="I14" s="38">
        <v>71.006</v>
      </c>
      <c r="J14" s="38">
        <v>121.66</v>
      </c>
      <c r="K14" s="38">
        <v>381.21899999999999</v>
      </c>
      <c r="L14" s="42">
        <f t="shared" si="0"/>
        <v>1885.8560000000002</v>
      </c>
      <c r="M14" s="243">
        <f t="shared" si="1"/>
        <v>68.661666666666662</v>
      </c>
      <c r="N14" s="38">
        <f t="shared" si="2"/>
        <v>195.23099999999999</v>
      </c>
      <c r="O14" s="38">
        <f t="shared" si="3"/>
        <v>114.40200000000002</v>
      </c>
      <c r="P14" s="38">
        <f t="shared" si="4"/>
        <v>266.88</v>
      </c>
      <c r="Q14" s="38">
        <f t="shared" si="5"/>
        <v>19.997999999999998</v>
      </c>
      <c r="R14" s="166">
        <f t="shared" si="6"/>
        <v>665.17266666666671</v>
      </c>
      <c r="S14" s="243">
        <f t="shared" si="7"/>
        <v>68.661666666666662</v>
      </c>
      <c r="T14" s="38">
        <f t="shared" si="8"/>
        <v>195.23099999999999</v>
      </c>
      <c r="U14" s="38">
        <f t="shared" si="9"/>
        <v>19.997999999999998</v>
      </c>
      <c r="V14" s="42">
        <f t="shared" si="10"/>
        <v>283.89066666666662</v>
      </c>
      <c r="W14" s="167">
        <f t="shared" si="11"/>
        <v>68.661666666666662</v>
      </c>
      <c r="X14" s="38">
        <f t="shared" si="12"/>
        <v>63.738</v>
      </c>
      <c r="Y14" s="38">
        <f t="shared" si="13"/>
        <v>17.7515</v>
      </c>
      <c r="Z14" s="42">
        <f t="shared" si="14"/>
        <v>150.15116666666665</v>
      </c>
      <c r="AA14" s="167">
        <f t="shared" si="15"/>
        <v>51.515999999999998</v>
      </c>
      <c r="AB14" s="38">
        <f t="shared" si="16"/>
        <v>63.738</v>
      </c>
      <c r="AC14" s="38">
        <f t="shared" si="17"/>
        <v>17.7515</v>
      </c>
      <c r="AD14" s="42">
        <f t="shared" si="18"/>
        <v>133.00549999999998</v>
      </c>
      <c r="AE14" s="243">
        <f t="shared" si="19"/>
        <v>51.515999999999998</v>
      </c>
      <c r="AF14" s="38">
        <f t="shared" si="20"/>
        <v>17.7515</v>
      </c>
      <c r="AG14" s="166">
        <f t="shared" si="21"/>
        <v>69.267499999999998</v>
      </c>
      <c r="AH14" s="243">
        <f t="shared" si="22"/>
        <v>17.7515</v>
      </c>
      <c r="AI14" s="38">
        <f t="shared" si="23"/>
        <v>121.66</v>
      </c>
      <c r="AJ14" s="38">
        <f t="shared" si="24"/>
        <v>190.6095</v>
      </c>
      <c r="AK14" s="42">
        <f t="shared" si="25"/>
        <v>330.02099999999996</v>
      </c>
      <c r="AL14" s="167">
        <f t="shared" si="26"/>
        <v>25.757999999999999</v>
      </c>
      <c r="AM14" s="38">
        <f t="shared" si="27"/>
        <v>63.738</v>
      </c>
      <c r="AN14" s="38">
        <f t="shared" si="28"/>
        <v>190.6095</v>
      </c>
      <c r="AO14" s="42">
        <f t="shared" si="29"/>
        <v>280.10550000000001</v>
      </c>
    </row>
    <row r="15" spans="1:43" x14ac:dyDescent="0.25">
      <c r="A15" s="232" t="s">
        <v>13</v>
      </c>
      <c r="B15" s="38">
        <v>190.14</v>
      </c>
      <c r="C15" s="38">
        <v>95.4</v>
      </c>
      <c r="D15" s="38">
        <v>201.83700000000002</v>
      </c>
      <c r="E15" s="38">
        <v>225.01200000000003</v>
      </c>
      <c r="F15" s="38">
        <v>81.242000000000004</v>
      </c>
      <c r="G15" s="38">
        <v>243.52799999999999</v>
      </c>
      <c r="H15" s="38">
        <v>39.995999999999995</v>
      </c>
      <c r="I15" s="38">
        <v>81.929999999999993</v>
      </c>
      <c r="J15" s="38">
        <v>107.80000000000001</v>
      </c>
      <c r="K15" s="38">
        <v>404.18399999999997</v>
      </c>
      <c r="L15" s="42">
        <f t="shared" si="0"/>
        <v>1671.069</v>
      </c>
      <c r="M15" s="243">
        <f t="shared" si="1"/>
        <v>63.379999999999995</v>
      </c>
      <c r="N15" s="38">
        <f t="shared" si="2"/>
        <v>112.50600000000001</v>
      </c>
      <c r="O15" s="38">
        <f t="shared" si="3"/>
        <v>81.242000000000004</v>
      </c>
      <c r="P15" s="38">
        <f t="shared" si="4"/>
        <v>243.52799999999999</v>
      </c>
      <c r="Q15" s="38">
        <f t="shared" si="5"/>
        <v>19.997999999999998</v>
      </c>
      <c r="R15" s="166">
        <f t="shared" si="6"/>
        <v>520.65400000000011</v>
      </c>
      <c r="S15" s="243">
        <f t="shared" si="7"/>
        <v>63.379999999999995</v>
      </c>
      <c r="T15" s="38">
        <f t="shared" si="8"/>
        <v>112.50600000000001</v>
      </c>
      <c r="U15" s="38">
        <f t="shared" si="9"/>
        <v>19.997999999999998</v>
      </c>
      <c r="V15" s="42">
        <f t="shared" si="10"/>
        <v>195.88400000000001</v>
      </c>
      <c r="W15" s="167">
        <f t="shared" si="11"/>
        <v>63.379999999999995</v>
      </c>
      <c r="X15" s="38">
        <f t="shared" si="12"/>
        <v>67.278999999999996</v>
      </c>
      <c r="Y15" s="38">
        <f t="shared" si="13"/>
        <v>20.482499999999998</v>
      </c>
      <c r="Z15" s="42">
        <f t="shared" si="14"/>
        <v>151.14149999999998</v>
      </c>
      <c r="AA15" s="167">
        <f t="shared" si="15"/>
        <v>47.7</v>
      </c>
      <c r="AB15" s="38">
        <f t="shared" si="16"/>
        <v>67.278999999999996</v>
      </c>
      <c r="AC15" s="38">
        <f t="shared" si="17"/>
        <v>20.482499999999998</v>
      </c>
      <c r="AD15" s="42">
        <f t="shared" si="18"/>
        <v>135.4615</v>
      </c>
      <c r="AE15" s="243">
        <f t="shared" si="19"/>
        <v>47.7</v>
      </c>
      <c r="AF15" s="38">
        <f t="shared" si="20"/>
        <v>20.482499999999998</v>
      </c>
      <c r="AG15" s="166">
        <f t="shared" si="21"/>
        <v>68.182500000000005</v>
      </c>
      <c r="AH15" s="243">
        <f t="shared" si="22"/>
        <v>20.482499999999998</v>
      </c>
      <c r="AI15" s="38">
        <f t="shared" si="23"/>
        <v>107.80000000000001</v>
      </c>
      <c r="AJ15" s="38">
        <f t="shared" si="24"/>
        <v>202.09199999999998</v>
      </c>
      <c r="AK15" s="42">
        <f t="shared" si="25"/>
        <v>330.37450000000001</v>
      </c>
      <c r="AL15" s="167">
        <f t="shared" si="26"/>
        <v>23.85</v>
      </c>
      <c r="AM15" s="38">
        <f t="shared" si="27"/>
        <v>67.278999999999996</v>
      </c>
      <c r="AN15" s="38">
        <f t="shared" si="28"/>
        <v>202.09199999999998</v>
      </c>
      <c r="AO15" s="42">
        <f t="shared" si="29"/>
        <v>293.221</v>
      </c>
    </row>
    <row r="16" spans="1:43" x14ac:dyDescent="0.25">
      <c r="A16" s="232" t="s">
        <v>14</v>
      </c>
      <c r="B16" s="38">
        <v>221.83</v>
      </c>
      <c r="C16" s="38">
        <v>114.47999999999999</v>
      </c>
      <c r="D16" s="38">
        <v>173.50900000000001</v>
      </c>
      <c r="E16" s="38">
        <v>165.45000000000002</v>
      </c>
      <c r="F16" s="38">
        <v>87.873999999999995</v>
      </c>
      <c r="G16" s="38">
        <v>296.904</v>
      </c>
      <c r="H16" s="38">
        <v>17.776</v>
      </c>
      <c r="I16" s="38">
        <v>180.24600000000001</v>
      </c>
      <c r="J16" s="38">
        <v>98.56</v>
      </c>
      <c r="K16" s="38">
        <v>206.685</v>
      </c>
      <c r="L16" s="42">
        <f t="shared" si="0"/>
        <v>1563.3140000000001</v>
      </c>
      <c r="M16" s="243">
        <f t="shared" si="1"/>
        <v>73.943333333333328</v>
      </c>
      <c r="N16" s="38">
        <f t="shared" si="2"/>
        <v>82.725000000000009</v>
      </c>
      <c r="O16" s="38">
        <f t="shared" si="3"/>
        <v>87.873999999999995</v>
      </c>
      <c r="P16" s="38">
        <f t="shared" si="4"/>
        <v>296.904</v>
      </c>
      <c r="Q16" s="38">
        <f t="shared" si="5"/>
        <v>8.8879999999999999</v>
      </c>
      <c r="R16" s="166">
        <f t="shared" si="6"/>
        <v>550.33433333333335</v>
      </c>
      <c r="S16" s="243">
        <f t="shared" si="7"/>
        <v>73.943333333333328</v>
      </c>
      <c r="T16" s="38">
        <f t="shared" si="8"/>
        <v>82.725000000000009</v>
      </c>
      <c r="U16" s="38">
        <f t="shared" si="9"/>
        <v>8.8879999999999999</v>
      </c>
      <c r="V16" s="42">
        <f t="shared" si="10"/>
        <v>165.55633333333336</v>
      </c>
      <c r="W16" s="167">
        <f t="shared" si="11"/>
        <v>73.943333333333328</v>
      </c>
      <c r="X16" s="38">
        <f t="shared" si="12"/>
        <v>57.836333333333336</v>
      </c>
      <c r="Y16" s="38">
        <f t="shared" si="13"/>
        <v>45.061500000000002</v>
      </c>
      <c r="Z16" s="42">
        <f t="shared" si="14"/>
        <v>176.84116666666665</v>
      </c>
      <c r="AA16" s="167">
        <f t="shared" si="15"/>
        <v>57.239999999999995</v>
      </c>
      <c r="AB16" s="38">
        <f t="shared" si="16"/>
        <v>57.836333333333336</v>
      </c>
      <c r="AC16" s="38">
        <f t="shared" si="17"/>
        <v>45.061500000000002</v>
      </c>
      <c r="AD16" s="42">
        <f t="shared" si="18"/>
        <v>160.13783333333333</v>
      </c>
      <c r="AE16" s="243">
        <f t="shared" si="19"/>
        <v>57.239999999999995</v>
      </c>
      <c r="AF16" s="38">
        <f t="shared" si="20"/>
        <v>45.061500000000002</v>
      </c>
      <c r="AG16" s="166">
        <f t="shared" si="21"/>
        <v>102.3015</v>
      </c>
      <c r="AH16" s="243">
        <f t="shared" si="22"/>
        <v>45.061500000000002</v>
      </c>
      <c r="AI16" s="38">
        <f t="shared" si="23"/>
        <v>98.56</v>
      </c>
      <c r="AJ16" s="38">
        <f t="shared" si="24"/>
        <v>103.3425</v>
      </c>
      <c r="AK16" s="42">
        <f t="shared" si="25"/>
        <v>246.964</v>
      </c>
      <c r="AL16" s="167">
        <f t="shared" si="26"/>
        <v>28.619999999999997</v>
      </c>
      <c r="AM16" s="38">
        <f t="shared" si="27"/>
        <v>57.836333333333336</v>
      </c>
      <c r="AN16" s="38">
        <f t="shared" si="28"/>
        <v>103.3425</v>
      </c>
      <c r="AO16" s="42">
        <f t="shared" si="29"/>
        <v>189.79883333333333</v>
      </c>
    </row>
    <row r="17" spans="1:41" x14ac:dyDescent="0.25">
      <c r="A17" s="232" t="s">
        <v>15</v>
      </c>
      <c r="B17" s="38">
        <v>114.08399999999999</v>
      </c>
      <c r="C17" s="38">
        <v>251.85600000000002</v>
      </c>
      <c r="D17" s="38">
        <v>99.147999999999996</v>
      </c>
      <c r="E17" s="38">
        <v>145.596</v>
      </c>
      <c r="F17" s="38">
        <v>89.531999999999996</v>
      </c>
      <c r="G17" s="38">
        <v>133.44</v>
      </c>
      <c r="H17" s="38">
        <v>44.44</v>
      </c>
      <c r="I17" s="38">
        <v>0</v>
      </c>
      <c r="J17" s="38">
        <v>18.48</v>
      </c>
      <c r="K17" s="38">
        <v>114.825</v>
      </c>
      <c r="L17" s="42">
        <f t="shared" si="0"/>
        <v>1011.4010000000001</v>
      </c>
      <c r="M17" s="243">
        <f t="shared" si="1"/>
        <v>38.027999999999992</v>
      </c>
      <c r="N17" s="38">
        <f t="shared" si="2"/>
        <v>72.798000000000002</v>
      </c>
      <c r="O17" s="38">
        <f t="shared" si="3"/>
        <v>89.531999999999996</v>
      </c>
      <c r="P17" s="38">
        <f t="shared" si="4"/>
        <v>133.44</v>
      </c>
      <c r="Q17" s="38">
        <f t="shared" si="5"/>
        <v>22.22</v>
      </c>
      <c r="R17" s="166">
        <f t="shared" si="6"/>
        <v>356.01800000000003</v>
      </c>
      <c r="S17" s="243">
        <f t="shared" si="7"/>
        <v>38.027999999999992</v>
      </c>
      <c r="T17" s="38">
        <f t="shared" si="8"/>
        <v>72.798000000000002</v>
      </c>
      <c r="U17" s="38">
        <f t="shared" si="9"/>
        <v>22.22</v>
      </c>
      <c r="V17" s="42">
        <f t="shared" si="10"/>
        <v>133.04599999999999</v>
      </c>
      <c r="W17" s="167">
        <f t="shared" si="11"/>
        <v>38.027999999999992</v>
      </c>
      <c r="X17" s="38">
        <f t="shared" si="12"/>
        <v>33.04933333333333</v>
      </c>
      <c r="Y17" s="38">
        <f t="shared" si="13"/>
        <v>0</v>
      </c>
      <c r="Z17" s="42">
        <f t="shared" si="14"/>
        <v>71.077333333333314</v>
      </c>
      <c r="AA17" s="167">
        <f t="shared" si="15"/>
        <v>125.92800000000001</v>
      </c>
      <c r="AB17" s="38">
        <f t="shared" si="16"/>
        <v>33.04933333333333</v>
      </c>
      <c r="AC17" s="38">
        <f t="shared" si="17"/>
        <v>0</v>
      </c>
      <c r="AD17" s="42">
        <f t="shared" si="18"/>
        <v>158.97733333333335</v>
      </c>
      <c r="AE17" s="243">
        <f t="shared" si="19"/>
        <v>125.92800000000001</v>
      </c>
      <c r="AF17" s="38">
        <f t="shared" si="20"/>
        <v>0</v>
      </c>
      <c r="AG17" s="166">
        <f t="shared" si="21"/>
        <v>125.92800000000001</v>
      </c>
      <c r="AH17" s="243">
        <f t="shared" si="22"/>
        <v>0</v>
      </c>
      <c r="AI17" s="38">
        <f t="shared" si="23"/>
        <v>18.48</v>
      </c>
      <c r="AJ17" s="38">
        <f t="shared" si="24"/>
        <v>57.412500000000001</v>
      </c>
      <c r="AK17" s="42">
        <f t="shared" si="25"/>
        <v>75.892499999999998</v>
      </c>
      <c r="AL17" s="167">
        <f t="shared" si="26"/>
        <v>62.964000000000006</v>
      </c>
      <c r="AM17" s="38">
        <f t="shared" si="27"/>
        <v>33.04933333333333</v>
      </c>
      <c r="AN17" s="38">
        <f t="shared" si="28"/>
        <v>57.412500000000001</v>
      </c>
      <c r="AO17" s="42">
        <f t="shared" si="29"/>
        <v>153.42583333333334</v>
      </c>
    </row>
    <row r="18" spans="1:41" x14ac:dyDescent="0.25">
      <c r="A18" s="232" t="s">
        <v>16</v>
      </c>
      <c r="B18" s="38">
        <v>63.38</v>
      </c>
      <c r="C18" s="38">
        <v>64.872</v>
      </c>
      <c r="D18" s="38">
        <v>3.5409999999999999</v>
      </c>
      <c r="E18" s="38">
        <v>62.870999999999995</v>
      </c>
      <c r="F18" s="38">
        <v>28.186000000000003</v>
      </c>
      <c r="G18" s="38">
        <v>110.08800000000001</v>
      </c>
      <c r="H18" s="38">
        <v>0</v>
      </c>
      <c r="I18" s="38">
        <v>5.4619999999999997</v>
      </c>
      <c r="J18" s="38">
        <v>41.58</v>
      </c>
      <c r="K18" s="38">
        <v>96.453000000000003</v>
      </c>
      <c r="L18" s="42">
        <f t="shared" si="0"/>
        <v>476.43299999999999</v>
      </c>
      <c r="M18" s="243">
        <f t="shared" si="1"/>
        <v>21.126666666666665</v>
      </c>
      <c r="N18" s="38">
        <f t="shared" si="2"/>
        <v>31.435499999999998</v>
      </c>
      <c r="O18" s="38">
        <f t="shared" si="3"/>
        <v>28.186000000000003</v>
      </c>
      <c r="P18" s="38">
        <f t="shared" si="4"/>
        <v>110.08800000000001</v>
      </c>
      <c r="Q18" s="38">
        <f t="shared" si="5"/>
        <v>0</v>
      </c>
      <c r="R18" s="166">
        <f t="shared" si="6"/>
        <v>190.83616666666666</v>
      </c>
      <c r="S18" s="243">
        <f t="shared" si="7"/>
        <v>21.126666666666665</v>
      </c>
      <c r="T18" s="38">
        <f t="shared" si="8"/>
        <v>31.435499999999998</v>
      </c>
      <c r="U18" s="38">
        <f t="shared" si="9"/>
        <v>0</v>
      </c>
      <c r="V18" s="42">
        <f t="shared" si="10"/>
        <v>52.562166666666663</v>
      </c>
      <c r="W18" s="167">
        <f t="shared" si="11"/>
        <v>21.126666666666665</v>
      </c>
      <c r="X18" s="38">
        <f t="shared" si="12"/>
        <v>1.1803333333333332</v>
      </c>
      <c r="Y18" s="38">
        <f t="shared" si="13"/>
        <v>1.3654999999999999</v>
      </c>
      <c r="Z18" s="42">
        <f t="shared" si="14"/>
        <v>23.672499999999999</v>
      </c>
      <c r="AA18" s="167">
        <f t="shared" si="15"/>
        <v>32.436</v>
      </c>
      <c r="AB18" s="38">
        <f t="shared" si="16"/>
        <v>1.1803333333333332</v>
      </c>
      <c r="AC18" s="38">
        <f t="shared" si="17"/>
        <v>1.3654999999999999</v>
      </c>
      <c r="AD18" s="42">
        <f t="shared" si="18"/>
        <v>34.981833333333327</v>
      </c>
      <c r="AE18" s="243">
        <f t="shared" si="19"/>
        <v>32.436</v>
      </c>
      <c r="AF18" s="38">
        <f t="shared" si="20"/>
        <v>1.3654999999999999</v>
      </c>
      <c r="AG18" s="166">
        <f t="shared" si="21"/>
        <v>33.801499999999997</v>
      </c>
      <c r="AH18" s="243">
        <f t="shared" si="22"/>
        <v>1.3654999999999999</v>
      </c>
      <c r="AI18" s="38">
        <f t="shared" si="23"/>
        <v>41.58</v>
      </c>
      <c r="AJ18" s="38">
        <f t="shared" si="24"/>
        <v>48.226500000000001</v>
      </c>
      <c r="AK18" s="42">
        <f t="shared" si="25"/>
        <v>91.171999999999997</v>
      </c>
      <c r="AL18" s="167">
        <f t="shared" si="26"/>
        <v>16.218</v>
      </c>
      <c r="AM18" s="38">
        <f t="shared" si="27"/>
        <v>1.1803333333333332</v>
      </c>
      <c r="AN18" s="38">
        <f t="shared" si="28"/>
        <v>48.226500000000001</v>
      </c>
      <c r="AO18" s="42">
        <f t="shared" si="29"/>
        <v>65.624833333333328</v>
      </c>
    </row>
    <row r="19" spans="1:41" x14ac:dyDescent="0.25">
      <c r="A19" s="232" t="s">
        <v>17</v>
      </c>
      <c r="B19" s="38">
        <v>76.055999999999997</v>
      </c>
      <c r="C19" s="38">
        <v>64.872</v>
      </c>
      <c r="D19" s="38">
        <v>31.868999999999996</v>
      </c>
      <c r="E19" s="38">
        <v>43.016999999999996</v>
      </c>
      <c r="F19" s="38">
        <v>18.238</v>
      </c>
      <c r="G19" s="38">
        <v>106.752</v>
      </c>
      <c r="H19" s="38">
        <v>0</v>
      </c>
      <c r="I19" s="38">
        <v>21.847999999999999</v>
      </c>
      <c r="J19" s="38">
        <v>32.340000000000003</v>
      </c>
      <c r="K19" s="38">
        <v>133.197</v>
      </c>
      <c r="L19" s="42">
        <f t="shared" si="0"/>
        <v>528.18899999999996</v>
      </c>
      <c r="M19" s="243">
        <f t="shared" si="1"/>
        <v>25.351999999999997</v>
      </c>
      <c r="N19" s="38">
        <f t="shared" si="2"/>
        <v>21.508499999999998</v>
      </c>
      <c r="O19" s="38">
        <f t="shared" si="3"/>
        <v>18.238</v>
      </c>
      <c r="P19" s="38">
        <f t="shared" si="4"/>
        <v>106.752</v>
      </c>
      <c r="Q19" s="38">
        <f t="shared" si="5"/>
        <v>0</v>
      </c>
      <c r="R19" s="166">
        <f t="shared" si="6"/>
        <v>171.85050000000001</v>
      </c>
      <c r="S19" s="243">
        <f t="shared" si="7"/>
        <v>25.351999999999997</v>
      </c>
      <c r="T19" s="38">
        <f t="shared" si="8"/>
        <v>21.508499999999998</v>
      </c>
      <c r="U19" s="38">
        <f t="shared" si="9"/>
        <v>0</v>
      </c>
      <c r="V19" s="42">
        <f t="shared" si="10"/>
        <v>46.860499999999995</v>
      </c>
      <c r="W19" s="167">
        <f t="shared" si="11"/>
        <v>25.351999999999997</v>
      </c>
      <c r="X19" s="38">
        <f t="shared" si="12"/>
        <v>10.622999999999998</v>
      </c>
      <c r="Y19" s="38">
        <f t="shared" si="13"/>
        <v>5.4619999999999997</v>
      </c>
      <c r="Z19" s="42">
        <f t="shared" si="14"/>
        <v>41.436999999999998</v>
      </c>
      <c r="AA19" s="167">
        <f t="shared" si="15"/>
        <v>32.436</v>
      </c>
      <c r="AB19" s="38">
        <f t="shared" si="16"/>
        <v>10.622999999999998</v>
      </c>
      <c r="AC19" s="38">
        <f t="shared" si="17"/>
        <v>5.4619999999999997</v>
      </c>
      <c r="AD19" s="42">
        <f t="shared" si="18"/>
        <v>48.521000000000001</v>
      </c>
      <c r="AE19" s="243">
        <f t="shared" si="19"/>
        <v>32.436</v>
      </c>
      <c r="AF19" s="38">
        <f t="shared" si="20"/>
        <v>5.4619999999999997</v>
      </c>
      <c r="AG19" s="166">
        <f t="shared" si="21"/>
        <v>37.897999999999996</v>
      </c>
      <c r="AH19" s="243">
        <f t="shared" si="22"/>
        <v>5.4619999999999997</v>
      </c>
      <c r="AI19" s="38">
        <f t="shared" si="23"/>
        <v>32.340000000000003</v>
      </c>
      <c r="AJ19" s="38">
        <f t="shared" si="24"/>
        <v>66.598500000000001</v>
      </c>
      <c r="AK19" s="42">
        <f t="shared" si="25"/>
        <v>104.40050000000001</v>
      </c>
      <c r="AL19" s="167">
        <f t="shared" si="26"/>
        <v>16.218</v>
      </c>
      <c r="AM19" s="38">
        <f t="shared" si="27"/>
        <v>10.622999999999998</v>
      </c>
      <c r="AN19" s="38">
        <f t="shared" si="28"/>
        <v>66.598500000000001</v>
      </c>
      <c r="AO19" s="42">
        <f t="shared" si="29"/>
        <v>93.439499999999995</v>
      </c>
    </row>
    <row r="20" spans="1:41" x14ac:dyDescent="0.25">
      <c r="A20" s="232" t="s">
        <v>18</v>
      </c>
      <c r="B20" s="38">
        <v>50.704000000000001</v>
      </c>
      <c r="C20" s="38">
        <v>40.068000000000005</v>
      </c>
      <c r="D20" s="38">
        <v>3.5409999999999999</v>
      </c>
      <c r="E20" s="38">
        <v>36.399000000000001</v>
      </c>
      <c r="F20" s="38">
        <v>6.6320000000000006</v>
      </c>
      <c r="G20" s="38">
        <v>13.343999999999999</v>
      </c>
      <c r="H20" s="38">
        <v>0</v>
      </c>
      <c r="I20" s="38">
        <v>0</v>
      </c>
      <c r="J20" s="38">
        <v>7.7</v>
      </c>
      <c r="K20" s="38">
        <v>59.708999999999996</v>
      </c>
      <c r="L20" s="42">
        <f t="shared" si="0"/>
        <v>218.09699999999998</v>
      </c>
      <c r="M20" s="243">
        <f t="shared" si="1"/>
        <v>16.901333333333334</v>
      </c>
      <c r="N20" s="38">
        <f t="shared" si="2"/>
        <v>18.1995</v>
      </c>
      <c r="O20" s="38">
        <f t="shared" si="3"/>
        <v>6.6320000000000006</v>
      </c>
      <c r="P20" s="38">
        <f t="shared" si="4"/>
        <v>13.343999999999999</v>
      </c>
      <c r="Q20" s="38">
        <f t="shared" si="5"/>
        <v>0</v>
      </c>
      <c r="R20" s="166">
        <f t="shared" si="6"/>
        <v>55.076833333333333</v>
      </c>
      <c r="S20" s="243">
        <f t="shared" si="7"/>
        <v>16.901333333333334</v>
      </c>
      <c r="T20" s="38">
        <f t="shared" si="8"/>
        <v>18.1995</v>
      </c>
      <c r="U20" s="38">
        <f t="shared" si="9"/>
        <v>0</v>
      </c>
      <c r="V20" s="42">
        <f t="shared" si="10"/>
        <v>35.100833333333334</v>
      </c>
      <c r="W20" s="167">
        <f t="shared" si="11"/>
        <v>16.901333333333334</v>
      </c>
      <c r="X20" s="38">
        <f t="shared" si="12"/>
        <v>1.1803333333333332</v>
      </c>
      <c r="Y20" s="38">
        <f t="shared" si="13"/>
        <v>0</v>
      </c>
      <c r="Z20" s="42">
        <f t="shared" si="14"/>
        <v>18.081666666666667</v>
      </c>
      <c r="AA20" s="167">
        <f t="shared" si="15"/>
        <v>20.034000000000002</v>
      </c>
      <c r="AB20" s="38">
        <f t="shared" si="16"/>
        <v>1.1803333333333332</v>
      </c>
      <c r="AC20" s="38">
        <f t="shared" si="17"/>
        <v>0</v>
      </c>
      <c r="AD20" s="42">
        <f t="shared" si="18"/>
        <v>21.214333333333336</v>
      </c>
      <c r="AE20" s="243">
        <f t="shared" si="19"/>
        <v>20.034000000000002</v>
      </c>
      <c r="AF20" s="38">
        <f t="shared" si="20"/>
        <v>0</v>
      </c>
      <c r="AG20" s="166">
        <f t="shared" si="21"/>
        <v>20.034000000000002</v>
      </c>
      <c r="AH20" s="243">
        <f t="shared" si="22"/>
        <v>0</v>
      </c>
      <c r="AI20" s="38">
        <f t="shared" si="23"/>
        <v>7.7</v>
      </c>
      <c r="AJ20" s="38">
        <f t="shared" si="24"/>
        <v>29.854499999999998</v>
      </c>
      <c r="AK20" s="42">
        <f t="shared" si="25"/>
        <v>37.554499999999997</v>
      </c>
      <c r="AL20" s="167">
        <f t="shared" si="26"/>
        <v>10.017000000000001</v>
      </c>
      <c r="AM20" s="38">
        <f t="shared" si="27"/>
        <v>1.1803333333333332</v>
      </c>
      <c r="AN20" s="38">
        <f t="shared" si="28"/>
        <v>29.854499999999998</v>
      </c>
      <c r="AO20" s="42">
        <f t="shared" si="29"/>
        <v>41.051833333333335</v>
      </c>
    </row>
    <row r="21" spans="1:41" x14ac:dyDescent="0.25">
      <c r="A21" s="232" t="s">
        <v>19</v>
      </c>
      <c r="B21" s="38">
        <v>63.38</v>
      </c>
      <c r="C21" s="38">
        <v>30.528000000000002</v>
      </c>
      <c r="D21" s="38">
        <v>10.623000000000001</v>
      </c>
      <c r="E21" s="38">
        <v>33.090000000000003</v>
      </c>
      <c r="F21" s="38">
        <v>18.238</v>
      </c>
      <c r="G21" s="38">
        <v>23.352</v>
      </c>
      <c r="H21" s="38">
        <v>0</v>
      </c>
      <c r="I21" s="38">
        <v>5.4619999999999997</v>
      </c>
      <c r="J21" s="38">
        <v>7.7</v>
      </c>
      <c r="K21" s="38">
        <v>55.116</v>
      </c>
      <c r="L21" s="42">
        <f t="shared" si="0"/>
        <v>247.48899999999998</v>
      </c>
      <c r="M21" s="243">
        <f t="shared" si="1"/>
        <v>21.126666666666665</v>
      </c>
      <c r="N21" s="38">
        <f t="shared" si="2"/>
        <v>16.545000000000002</v>
      </c>
      <c r="O21" s="38">
        <f t="shared" si="3"/>
        <v>18.238</v>
      </c>
      <c r="P21" s="38">
        <f t="shared" si="4"/>
        <v>23.352</v>
      </c>
      <c r="Q21" s="38">
        <f t="shared" si="5"/>
        <v>0</v>
      </c>
      <c r="R21" s="166">
        <f t="shared" si="6"/>
        <v>79.26166666666667</v>
      </c>
      <c r="S21" s="243">
        <f t="shared" si="7"/>
        <v>21.126666666666665</v>
      </c>
      <c r="T21" s="38">
        <f t="shared" si="8"/>
        <v>16.545000000000002</v>
      </c>
      <c r="U21" s="38">
        <f t="shared" si="9"/>
        <v>0</v>
      </c>
      <c r="V21" s="42">
        <f t="shared" si="10"/>
        <v>37.671666666666667</v>
      </c>
      <c r="W21" s="167">
        <f t="shared" si="11"/>
        <v>21.126666666666665</v>
      </c>
      <c r="X21" s="38">
        <f t="shared" si="12"/>
        <v>3.5410000000000004</v>
      </c>
      <c r="Y21" s="38">
        <f t="shared" si="13"/>
        <v>1.3654999999999999</v>
      </c>
      <c r="Z21" s="42">
        <f t="shared" si="14"/>
        <v>26.033166666666666</v>
      </c>
      <c r="AA21" s="167">
        <f t="shared" si="15"/>
        <v>15.264000000000001</v>
      </c>
      <c r="AB21" s="38">
        <f t="shared" si="16"/>
        <v>3.5410000000000004</v>
      </c>
      <c r="AC21" s="38">
        <f t="shared" si="17"/>
        <v>1.3654999999999999</v>
      </c>
      <c r="AD21" s="42">
        <f t="shared" si="18"/>
        <v>20.170500000000001</v>
      </c>
      <c r="AE21" s="243">
        <f t="shared" si="19"/>
        <v>15.264000000000001</v>
      </c>
      <c r="AF21" s="38">
        <f t="shared" si="20"/>
        <v>1.3654999999999999</v>
      </c>
      <c r="AG21" s="166">
        <f t="shared" si="21"/>
        <v>16.6295</v>
      </c>
      <c r="AH21" s="243">
        <f t="shared" si="22"/>
        <v>1.3654999999999999</v>
      </c>
      <c r="AI21" s="38">
        <f t="shared" si="23"/>
        <v>7.7</v>
      </c>
      <c r="AJ21" s="38">
        <f t="shared" si="24"/>
        <v>27.558</v>
      </c>
      <c r="AK21" s="42">
        <f t="shared" si="25"/>
        <v>36.6235</v>
      </c>
      <c r="AL21" s="167">
        <f t="shared" si="26"/>
        <v>7.6320000000000006</v>
      </c>
      <c r="AM21" s="38">
        <f t="shared" si="27"/>
        <v>3.5410000000000004</v>
      </c>
      <c r="AN21" s="38">
        <f t="shared" si="28"/>
        <v>27.558</v>
      </c>
      <c r="AO21" s="42">
        <f t="shared" si="29"/>
        <v>38.731000000000002</v>
      </c>
    </row>
    <row r="22" spans="1:41" x14ac:dyDescent="0.25">
      <c r="A22" s="232" t="s">
        <v>29</v>
      </c>
      <c r="B22" s="38">
        <f>SUM(B8:B21)</f>
        <v>2776.0440000000003</v>
      </c>
      <c r="C22" s="38">
        <f t="shared" ref="C22:K22" si="30">SUM(C8:C21)</f>
        <v>1776.3480000000002</v>
      </c>
      <c r="D22" s="38">
        <f t="shared" si="30"/>
        <v>2560.1430000000009</v>
      </c>
      <c r="E22" s="38">
        <f t="shared" si="30"/>
        <v>2461.8959999999997</v>
      </c>
      <c r="F22" s="38">
        <f t="shared" si="30"/>
        <v>1129.098</v>
      </c>
      <c r="G22" s="38">
        <f t="shared" si="30"/>
        <v>2812.2479999999996</v>
      </c>
      <c r="H22" s="38">
        <f t="shared" si="30"/>
        <v>2586.4079999999999</v>
      </c>
      <c r="I22" s="38">
        <f t="shared" si="30"/>
        <v>4555.3080000000018</v>
      </c>
      <c r="J22" s="38">
        <f t="shared" si="30"/>
        <v>1179.6399999999999</v>
      </c>
      <c r="K22" s="38">
        <f t="shared" si="30"/>
        <v>3164.5769999999993</v>
      </c>
      <c r="L22" s="42">
        <f t="shared" si="0"/>
        <v>25001.71</v>
      </c>
      <c r="M22" s="243">
        <f t="shared" si="1"/>
        <v>925.34800000000007</v>
      </c>
      <c r="N22" s="38">
        <f t="shared" si="2"/>
        <v>1230.9479999999999</v>
      </c>
      <c r="O22" s="38">
        <f t="shared" si="3"/>
        <v>1129.098</v>
      </c>
      <c r="P22" s="38">
        <f t="shared" si="4"/>
        <v>2812.2479999999996</v>
      </c>
      <c r="Q22" s="38">
        <f t="shared" si="5"/>
        <v>1293.204</v>
      </c>
      <c r="R22" s="166">
        <f t="shared" si="6"/>
        <v>7390.8459999999995</v>
      </c>
      <c r="S22" s="243">
        <f t="shared" si="7"/>
        <v>925.34800000000007</v>
      </c>
      <c r="T22" s="38">
        <f t="shared" si="8"/>
        <v>1230.9479999999999</v>
      </c>
      <c r="U22" s="38">
        <f t="shared" si="9"/>
        <v>1293.204</v>
      </c>
      <c r="V22" s="42">
        <f t="shared" si="10"/>
        <v>3449.5</v>
      </c>
      <c r="W22" s="167">
        <f t="shared" si="11"/>
        <v>925.34800000000007</v>
      </c>
      <c r="X22" s="38">
        <f t="shared" si="12"/>
        <v>853.38100000000031</v>
      </c>
      <c r="Y22" s="38">
        <f t="shared" si="13"/>
        <v>1138.8270000000005</v>
      </c>
      <c r="Z22" s="42">
        <f t="shared" si="14"/>
        <v>2917.5560000000005</v>
      </c>
      <c r="AA22" s="167">
        <f t="shared" si="15"/>
        <v>888.17400000000009</v>
      </c>
      <c r="AB22" s="38">
        <f t="shared" si="16"/>
        <v>853.38100000000031</v>
      </c>
      <c r="AC22" s="38">
        <f t="shared" si="17"/>
        <v>1138.8270000000005</v>
      </c>
      <c r="AD22" s="42">
        <f t="shared" si="18"/>
        <v>2880.3820000000005</v>
      </c>
      <c r="AE22" s="243">
        <f t="shared" si="19"/>
        <v>888.17400000000009</v>
      </c>
      <c r="AF22" s="38">
        <f t="shared" si="20"/>
        <v>1138.8270000000005</v>
      </c>
      <c r="AG22" s="166">
        <f t="shared" si="21"/>
        <v>2027.0010000000007</v>
      </c>
      <c r="AH22" s="243">
        <f t="shared" si="22"/>
        <v>1138.8270000000005</v>
      </c>
      <c r="AI22" s="38">
        <f t="shared" si="23"/>
        <v>1179.6399999999999</v>
      </c>
      <c r="AJ22" s="38">
        <f t="shared" si="24"/>
        <v>1582.2884999999997</v>
      </c>
      <c r="AK22" s="42">
        <f t="shared" si="25"/>
        <v>3900.7555000000002</v>
      </c>
      <c r="AL22" s="167">
        <f t="shared" si="26"/>
        <v>444.08700000000005</v>
      </c>
      <c r="AM22" s="38">
        <f t="shared" si="27"/>
        <v>853.38100000000031</v>
      </c>
      <c r="AN22" s="38">
        <f t="shared" si="28"/>
        <v>1582.2884999999997</v>
      </c>
      <c r="AO22" s="42">
        <f t="shared" si="29"/>
        <v>2879.7565</v>
      </c>
    </row>
    <row r="23" spans="1:41" x14ac:dyDescent="0.25">
      <c r="A23" s="232" t="s">
        <v>21</v>
      </c>
      <c r="B23" s="38">
        <v>1600</v>
      </c>
      <c r="C23" s="38">
        <v>1124</v>
      </c>
      <c r="D23" s="38">
        <v>1883</v>
      </c>
      <c r="E23" s="38">
        <v>1678</v>
      </c>
      <c r="F23" s="38">
        <v>701</v>
      </c>
      <c r="G23" s="38">
        <v>1600</v>
      </c>
      <c r="H23" s="38">
        <v>2041</v>
      </c>
      <c r="I23" s="38">
        <v>2695</v>
      </c>
      <c r="J23" s="38">
        <v>668</v>
      </c>
      <c r="K23" s="38">
        <v>1956</v>
      </c>
      <c r="L23" s="42">
        <f t="shared" si="0"/>
        <v>15946</v>
      </c>
      <c r="M23" s="243">
        <f t="shared" si="1"/>
        <v>533.33333333333326</v>
      </c>
      <c r="N23" s="38">
        <f t="shared" si="2"/>
        <v>839</v>
      </c>
      <c r="O23" s="38">
        <f t="shared" si="3"/>
        <v>701</v>
      </c>
      <c r="P23" s="38">
        <f t="shared" si="4"/>
        <v>1600</v>
      </c>
      <c r="Q23" s="38">
        <f t="shared" si="5"/>
        <v>1020.5</v>
      </c>
      <c r="R23" s="166">
        <f t="shared" si="6"/>
        <v>4693.833333333333</v>
      </c>
      <c r="S23" s="243">
        <f t="shared" si="7"/>
        <v>533.33333333333326</v>
      </c>
      <c r="T23" s="38">
        <f t="shared" si="8"/>
        <v>839</v>
      </c>
      <c r="U23" s="38">
        <f t="shared" si="9"/>
        <v>1020.5</v>
      </c>
      <c r="V23" s="42">
        <f t="shared" si="10"/>
        <v>2392.833333333333</v>
      </c>
      <c r="W23" s="167">
        <f t="shared" si="11"/>
        <v>533.33333333333326</v>
      </c>
      <c r="X23" s="38">
        <f t="shared" si="12"/>
        <v>627.66666666666663</v>
      </c>
      <c r="Y23" s="38">
        <f t="shared" si="13"/>
        <v>673.75</v>
      </c>
      <c r="Z23" s="42">
        <f t="shared" si="14"/>
        <v>1834.75</v>
      </c>
      <c r="AA23" s="167">
        <f t="shared" si="15"/>
        <v>562</v>
      </c>
      <c r="AB23" s="38">
        <f t="shared" si="16"/>
        <v>627.66666666666663</v>
      </c>
      <c r="AC23" s="38">
        <f t="shared" si="17"/>
        <v>673.75</v>
      </c>
      <c r="AD23" s="42">
        <f t="shared" si="18"/>
        <v>1863.4166666666665</v>
      </c>
      <c r="AE23" s="243">
        <f t="shared" si="19"/>
        <v>562</v>
      </c>
      <c r="AF23" s="38">
        <f t="shared" si="20"/>
        <v>673.75</v>
      </c>
      <c r="AG23" s="166">
        <f t="shared" si="21"/>
        <v>1235.75</v>
      </c>
      <c r="AH23" s="243">
        <f t="shared" si="22"/>
        <v>673.75</v>
      </c>
      <c r="AI23" s="38">
        <f t="shared" si="23"/>
        <v>668</v>
      </c>
      <c r="AJ23" s="38">
        <f t="shared" si="24"/>
        <v>978</v>
      </c>
      <c r="AK23" s="42">
        <f t="shared" si="25"/>
        <v>2319.75</v>
      </c>
      <c r="AL23" s="167">
        <f t="shared" si="26"/>
        <v>281</v>
      </c>
      <c r="AM23" s="38">
        <f t="shared" si="27"/>
        <v>627.66666666666663</v>
      </c>
      <c r="AN23" s="38">
        <f t="shared" si="28"/>
        <v>978</v>
      </c>
      <c r="AO23" s="42">
        <f t="shared" si="29"/>
        <v>1886.6666666666665</v>
      </c>
    </row>
    <row r="24" spans="1:41" x14ac:dyDescent="0.25">
      <c r="A24" s="232" t="s">
        <v>22</v>
      </c>
      <c r="B24" s="38">
        <v>1569</v>
      </c>
      <c r="C24" s="38">
        <v>784</v>
      </c>
      <c r="D24" s="38">
        <v>1658</v>
      </c>
      <c r="E24" s="38">
        <v>1631</v>
      </c>
      <c r="F24" s="38">
        <v>957</v>
      </c>
      <c r="G24" s="38">
        <v>1736</v>
      </c>
      <c r="H24" s="38">
        <v>2403</v>
      </c>
      <c r="I24" s="38">
        <v>2767</v>
      </c>
      <c r="J24" s="38">
        <v>872</v>
      </c>
      <c r="K24" s="38">
        <v>2637</v>
      </c>
      <c r="L24" s="42">
        <f t="shared" si="0"/>
        <v>17014</v>
      </c>
      <c r="M24" s="243">
        <f t="shared" si="1"/>
        <v>523</v>
      </c>
      <c r="N24" s="38">
        <f t="shared" si="2"/>
        <v>815.5</v>
      </c>
      <c r="O24" s="38">
        <f t="shared" si="3"/>
        <v>957</v>
      </c>
      <c r="P24" s="38">
        <f t="shared" si="4"/>
        <v>1736</v>
      </c>
      <c r="Q24" s="38">
        <f t="shared" si="5"/>
        <v>1201.5</v>
      </c>
      <c r="R24" s="166">
        <f t="shared" si="6"/>
        <v>5233</v>
      </c>
      <c r="S24" s="243">
        <f t="shared" si="7"/>
        <v>523</v>
      </c>
      <c r="T24" s="38">
        <f t="shared" si="8"/>
        <v>815.5</v>
      </c>
      <c r="U24" s="38">
        <f t="shared" si="9"/>
        <v>1201.5</v>
      </c>
      <c r="V24" s="42">
        <f t="shared" si="10"/>
        <v>2540</v>
      </c>
      <c r="W24" s="167">
        <f t="shared" si="11"/>
        <v>523</v>
      </c>
      <c r="X24" s="38">
        <f t="shared" si="12"/>
        <v>552.66666666666663</v>
      </c>
      <c r="Y24" s="38">
        <f t="shared" si="13"/>
        <v>691.75</v>
      </c>
      <c r="Z24" s="42">
        <f t="shared" si="14"/>
        <v>1767.4166666666665</v>
      </c>
      <c r="AA24" s="167">
        <f t="shared" si="15"/>
        <v>392</v>
      </c>
      <c r="AB24" s="38">
        <f t="shared" si="16"/>
        <v>552.66666666666663</v>
      </c>
      <c r="AC24" s="38">
        <f t="shared" si="17"/>
        <v>691.75</v>
      </c>
      <c r="AD24" s="42">
        <f t="shared" si="18"/>
        <v>1636.4166666666665</v>
      </c>
      <c r="AE24" s="243">
        <f t="shared" si="19"/>
        <v>392</v>
      </c>
      <c r="AF24" s="38">
        <f t="shared" si="20"/>
        <v>691.75</v>
      </c>
      <c r="AG24" s="166">
        <f t="shared" si="21"/>
        <v>1083.75</v>
      </c>
      <c r="AH24" s="243">
        <f t="shared" si="22"/>
        <v>691.75</v>
      </c>
      <c r="AI24" s="38">
        <f t="shared" si="23"/>
        <v>872</v>
      </c>
      <c r="AJ24" s="38">
        <f t="shared" si="24"/>
        <v>1318.5</v>
      </c>
      <c r="AK24" s="42">
        <f t="shared" si="25"/>
        <v>2882.25</v>
      </c>
      <c r="AL24" s="167">
        <f t="shared" si="26"/>
        <v>196</v>
      </c>
      <c r="AM24" s="38">
        <f t="shared" si="27"/>
        <v>552.66666666666663</v>
      </c>
      <c r="AN24" s="38">
        <f t="shared" si="28"/>
        <v>1318.5</v>
      </c>
      <c r="AO24" s="42">
        <f t="shared" si="29"/>
        <v>2067.1666666666665</v>
      </c>
    </row>
    <row r="25" spans="1:41" x14ac:dyDescent="0.25">
      <c r="A25" s="232" t="s">
        <v>507</v>
      </c>
      <c r="B25" s="38">
        <v>2417</v>
      </c>
      <c r="C25" s="38">
        <v>1449</v>
      </c>
      <c r="D25" s="38">
        <v>2206</v>
      </c>
      <c r="E25" s="38">
        <v>978</v>
      </c>
      <c r="F25" s="38">
        <v>875</v>
      </c>
      <c r="G25" s="38">
        <v>3102</v>
      </c>
      <c r="H25" s="38">
        <v>3538</v>
      </c>
      <c r="I25" s="38">
        <v>4064</v>
      </c>
      <c r="J25" s="38">
        <v>1000</v>
      </c>
      <c r="K25" s="38">
        <v>1570</v>
      </c>
      <c r="L25" s="42">
        <f t="shared" si="0"/>
        <v>21199</v>
      </c>
      <c r="M25" s="243">
        <f t="shared" si="1"/>
        <v>805.66666666666663</v>
      </c>
      <c r="N25" s="38">
        <f t="shared" si="2"/>
        <v>489</v>
      </c>
      <c r="O25" s="38">
        <f t="shared" si="3"/>
        <v>875</v>
      </c>
      <c r="P25" s="38">
        <f t="shared" si="4"/>
        <v>3102</v>
      </c>
      <c r="Q25" s="38">
        <f t="shared" si="5"/>
        <v>1769</v>
      </c>
      <c r="R25" s="166">
        <f t="shared" si="6"/>
        <v>7040.6666666666661</v>
      </c>
      <c r="S25" s="243">
        <f t="shared" si="7"/>
        <v>805.66666666666663</v>
      </c>
      <c r="T25" s="38">
        <f t="shared" si="8"/>
        <v>489</v>
      </c>
      <c r="U25" s="38">
        <f t="shared" si="9"/>
        <v>1769</v>
      </c>
      <c r="V25" s="42">
        <f t="shared" si="10"/>
        <v>3063.6666666666665</v>
      </c>
      <c r="W25" s="167">
        <f t="shared" si="11"/>
        <v>805.66666666666663</v>
      </c>
      <c r="X25" s="38">
        <f t="shared" si="12"/>
        <v>735.33333333333326</v>
      </c>
      <c r="Y25" s="38">
        <f t="shared" si="13"/>
        <v>1016</v>
      </c>
      <c r="Z25" s="42">
        <f t="shared" si="14"/>
        <v>2557</v>
      </c>
      <c r="AA25" s="167">
        <f t="shared" si="15"/>
        <v>724.5</v>
      </c>
      <c r="AB25" s="38">
        <f t="shared" si="16"/>
        <v>735.33333333333326</v>
      </c>
      <c r="AC25" s="38">
        <f t="shared" si="17"/>
        <v>1016</v>
      </c>
      <c r="AD25" s="42">
        <f t="shared" si="18"/>
        <v>2475.833333333333</v>
      </c>
      <c r="AE25" s="243">
        <f t="shared" si="19"/>
        <v>724.5</v>
      </c>
      <c r="AF25" s="38">
        <f t="shared" si="20"/>
        <v>1016</v>
      </c>
      <c r="AG25" s="166">
        <f t="shared" si="21"/>
        <v>1740.5</v>
      </c>
      <c r="AH25" s="243">
        <f t="shared" si="22"/>
        <v>1016</v>
      </c>
      <c r="AI25" s="38">
        <f t="shared" si="23"/>
        <v>1000</v>
      </c>
      <c r="AJ25" s="38">
        <f t="shared" si="24"/>
        <v>785</v>
      </c>
      <c r="AK25" s="42">
        <f t="shared" si="25"/>
        <v>2801</v>
      </c>
      <c r="AL25" s="167">
        <f t="shared" si="26"/>
        <v>362.25</v>
      </c>
      <c r="AM25" s="38">
        <f t="shared" si="27"/>
        <v>735.33333333333326</v>
      </c>
      <c r="AN25" s="38">
        <f t="shared" si="28"/>
        <v>785</v>
      </c>
      <c r="AO25" s="42">
        <f t="shared" si="29"/>
        <v>1882.5833333333333</v>
      </c>
    </row>
    <row r="26" spans="1:41" x14ac:dyDescent="0.25">
      <c r="A26" s="232" t="s">
        <v>30</v>
      </c>
      <c r="B26" s="38">
        <v>752</v>
      </c>
      <c r="C26" s="38">
        <v>752</v>
      </c>
      <c r="D26" s="38">
        <v>752</v>
      </c>
      <c r="E26" s="38">
        <v>752</v>
      </c>
      <c r="F26" s="38">
        <v>752</v>
      </c>
      <c r="G26" s="38">
        <v>752</v>
      </c>
      <c r="H26" s="38">
        <v>752</v>
      </c>
      <c r="I26" s="38">
        <v>752</v>
      </c>
      <c r="J26" s="38">
        <v>752</v>
      </c>
      <c r="K26" s="38">
        <v>752</v>
      </c>
      <c r="L26" s="42">
        <f t="shared" si="0"/>
        <v>7520</v>
      </c>
      <c r="M26" s="243">
        <f t="shared" si="1"/>
        <v>250.66666666666666</v>
      </c>
      <c r="N26" s="38">
        <f t="shared" si="2"/>
        <v>376</v>
      </c>
      <c r="O26" s="38">
        <f t="shared" si="3"/>
        <v>752</v>
      </c>
      <c r="P26" s="38">
        <f t="shared" si="4"/>
        <v>752</v>
      </c>
      <c r="Q26" s="38">
        <f t="shared" si="5"/>
        <v>376</v>
      </c>
      <c r="R26" s="166">
        <f t="shared" si="6"/>
        <v>2506.6666666666665</v>
      </c>
      <c r="S26" s="243">
        <f t="shared" si="7"/>
        <v>250.66666666666666</v>
      </c>
      <c r="T26" s="38">
        <f t="shared" si="8"/>
        <v>376</v>
      </c>
      <c r="U26" s="38">
        <f t="shared" si="9"/>
        <v>376</v>
      </c>
      <c r="V26" s="42">
        <f t="shared" si="10"/>
        <v>1002.6666666666666</v>
      </c>
      <c r="W26" s="167">
        <f t="shared" si="11"/>
        <v>250.66666666666666</v>
      </c>
      <c r="X26" s="38">
        <f t="shared" si="12"/>
        <v>250.66666666666666</v>
      </c>
      <c r="Y26" s="38">
        <f t="shared" si="13"/>
        <v>188</v>
      </c>
      <c r="Z26" s="42">
        <f t="shared" si="14"/>
        <v>689.33333333333326</v>
      </c>
      <c r="AA26" s="167">
        <f t="shared" si="15"/>
        <v>376</v>
      </c>
      <c r="AB26" s="38">
        <f t="shared" si="16"/>
        <v>250.66666666666666</v>
      </c>
      <c r="AC26" s="38">
        <f t="shared" si="17"/>
        <v>188</v>
      </c>
      <c r="AD26" s="42">
        <f t="shared" si="18"/>
        <v>814.66666666666663</v>
      </c>
      <c r="AE26" s="243">
        <f t="shared" si="19"/>
        <v>376</v>
      </c>
      <c r="AF26" s="38">
        <f t="shared" si="20"/>
        <v>188</v>
      </c>
      <c r="AG26" s="166">
        <f t="shared" si="21"/>
        <v>564</v>
      </c>
      <c r="AH26" s="243">
        <f t="shared" si="22"/>
        <v>188</v>
      </c>
      <c r="AI26" s="38">
        <f t="shared" si="23"/>
        <v>752</v>
      </c>
      <c r="AJ26" s="38">
        <f t="shared" si="24"/>
        <v>376</v>
      </c>
      <c r="AK26" s="42">
        <f t="shared" si="25"/>
        <v>1316</v>
      </c>
      <c r="AL26" s="167">
        <f t="shared" si="26"/>
        <v>188</v>
      </c>
      <c r="AM26" s="38">
        <f t="shared" si="27"/>
        <v>250.66666666666666</v>
      </c>
      <c r="AN26" s="38">
        <f t="shared" si="28"/>
        <v>376</v>
      </c>
      <c r="AO26" s="42">
        <f t="shared" si="29"/>
        <v>814.66666666666663</v>
      </c>
    </row>
    <row r="27" spans="1:41" x14ac:dyDescent="0.25">
      <c r="A27" s="232" t="s">
        <v>24</v>
      </c>
      <c r="B27" s="38">
        <v>36</v>
      </c>
      <c r="C27" s="38">
        <v>68</v>
      </c>
      <c r="D27" s="38">
        <v>92</v>
      </c>
      <c r="E27" s="38">
        <v>231</v>
      </c>
      <c r="F27" s="38">
        <v>242</v>
      </c>
      <c r="G27" s="38">
        <v>0</v>
      </c>
      <c r="H27" s="38">
        <v>88</v>
      </c>
      <c r="I27" s="38">
        <v>118</v>
      </c>
      <c r="J27" s="38">
        <v>101</v>
      </c>
      <c r="K27" s="38">
        <v>1291</v>
      </c>
      <c r="L27" s="42">
        <f t="shared" si="0"/>
        <v>2267</v>
      </c>
      <c r="M27" s="243">
        <f t="shared" si="1"/>
        <v>12</v>
      </c>
      <c r="N27" s="38">
        <f t="shared" si="2"/>
        <v>115.5</v>
      </c>
      <c r="O27" s="38">
        <f t="shared" si="3"/>
        <v>242</v>
      </c>
      <c r="P27" s="38">
        <f t="shared" si="4"/>
        <v>0</v>
      </c>
      <c r="Q27" s="38">
        <f t="shared" si="5"/>
        <v>44</v>
      </c>
      <c r="R27" s="166">
        <f t="shared" si="6"/>
        <v>413.5</v>
      </c>
      <c r="S27" s="243">
        <f t="shared" si="7"/>
        <v>12</v>
      </c>
      <c r="T27" s="38">
        <f t="shared" si="8"/>
        <v>115.5</v>
      </c>
      <c r="U27" s="38">
        <f t="shared" si="9"/>
        <v>44</v>
      </c>
      <c r="V27" s="42">
        <f t="shared" si="10"/>
        <v>171.5</v>
      </c>
      <c r="W27" s="167">
        <f t="shared" si="11"/>
        <v>12</v>
      </c>
      <c r="X27" s="38">
        <f t="shared" si="12"/>
        <v>30.666666666666664</v>
      </c>
      <c r="Y27" s="38">
        <f t="shared" si="13"/>
        <v>29.5</v>
      </c>
      <c r="Z27" s="42">
        <f t="shared" si="14"/>
        <v>72.166666666666657</v>
      </c>
      <c r="AA27" s="167">
        <f t="shared" si="15"/>
        <v>34</v>
      </c>
      <c r="AB27" s="38">
        <f t="shared" si="16"/>
        <v>30.666666666666664</v>
      </c>
      <c r="AC27" s="38">
        <f t="shared" si="17"/>
        <v>29.5</v>
      </c>
      <c r="AD27" s="42">
        <f t="shared" si="18"/>
        <v>94.166666666666657</v>
      </c>
      <c r="AE27" s="243">
        <f t="shared" si="19"/>
        <v>34</v>
      </c>
      <c r="AF27" s="38">
        <f t="shared" si="20"/>
        <v>29.5</v>
      </c>
      <c r="AG27" s="166">
        <f t="shared" si="21"/>
        <v>63.5</v>
      </c>
      <c r="AH27" s="243">
        <f t="shared" si="22"/>
        <v>29.5</v>
      </c>
      <c r="AI27" s="38">
        <f t="shared" si="23"/>
        <v>101</v>
      </c>
      <c r="AJ27" s="38">
        <f t="shared" si="24"/>
        <v>645.5</v>
      </c>
      <c r="AK27" s="42">
        <f t="shared" si="25"/>
        <v>776</v>
      </c>
      <c r="AL27" s="167">
        <f t="shared" si="26"/>
        <v>17</v>
      </c>
      <c r="AM27" s="38">
        <f t="shared" si="27"/>
        <v>30.666666666666664</v>
      </c>
      <c r="AN27" s="38">
        <f t="shared" si="28"/>
        <v>645.5</v>
      </c>
      <c r="AO27" s="42">
        <f t="shared" si="29"/>
        <v>693.16666666666663</v>
      </c>
    </row>
    <row r="28" spans="1:41" x14ac:dyDescent="0.25">
      <c r="A28" s="232" t="s">
        <v>508</v>
      </c>
      <c r="B28" s="38">
        <v>1956</v>
      </c>
      <c r="C28" s="38">
        <v>1117</v>
      </c>
      <c r="D28" s="38">
        <v>1297</v>
      </c>
      <c r="E28" s="38">
        <v>1419</v>
      </c>
      <c r="F28" s="38">
        <v>663</v>
      </c>
      <c r="G28" s="38">
        <v>1740</v>
      </c>
      <c r="H28" s="38">
        <v>856</v>
      </c>
      <c r="I28" s="38">
        <v>2084</v>
      </c>
      <c r="J28" s="38">
        <v>678</v>
      </c>
      <c r="K28" s="38">
        <v>1925</v>
      </c>
      <c r="L28" s="42">
        <f t="shared" si="0"/>
        <v>13735</v>
      </c>
      <c r="M28" s="243">
        <f t="shared" si="1"/>
        <v>652</v>
      </c>
      <c r="N28" s="38">
        <f t="shared" si="2"/>
        <v>709.5</v>
      </c>
      <c r="O28" s="38">
        <f t="shared" si="3"/>
        <v>663</v>
      </c>
      <c r="P28" s="38">
        <f t="shared" si="4"/>
        <v>1740</v>
      </c>
      <c r="Q28" s="38">
        <f t="shared" si="5"/>
        <v>428</v>
      </c>
      <c r="R28" s="166">
        <f t="shared" si="6"/>
        <v>4192.5</v>
      </c>
      <c r="S28" s="243">
        <f t="shared" si="7"/>
        <v>652</v>
      </c>
      <c r="T28" s="38">
        <f t="shared" si="8"/>
        <v>709.5</v>
      </c>
      <c r="U28" s="38">
        <f t="shared" si="9"/>
        <v>428</v>
      </c>
      <c r="V28" s="42">
        <f t="shared" si="10"/>
        <v>1789.5</v>
      </c>
      <c r="W28" s="167">
        <f t="shared" si="11"/>
        <v>652</v>
      </c>
      <c r="X28" s="38">
        <f t="shared" si="12"/>
        <v>432.33333333333331</v>
      </c>
      <c r="Y28" s="38">
        <f t="shared" si="13"/>
        <v>521</v>
      </c>
      <c r="Z28" s="42">
        <f t="shared" si="14"/>
        <v>1605.3333333333333</v>
      </c>
      <c r="AA28" s="167">
        <f t="shared" si="15"/>
        <v>558.5</v>
      </c>
      <c r="AB28" s="38">
        <f t="shared" si="16"/>
        <v>432.33333333333331</v>
      </c>
      <c r="AC28" s="38">
        <f t="shared" si="17"/>
        <v>521</v>
      </c>
      <c r="AD28" s="42">
        <f t="shared" si="18"/>
        <v>1511.8333333333333</v>
      </c>
      <c r="AE28" s="243">
        <f t="shared" si="19"/>
        <v>558.5</v>
      </c>
      <c r="AF28" s="38">
        <f t="shared" si="20"/>
        <v>521</v>
      </c>
      <c r="AG28" s="166">
        <f t="shared" si="21"/>
        <v>1079.5</v>
      </c>
      <c r="AH28" s="243">
        <f t="shared" si="22"/>
        <v>521</v>
      </c>
      <c r="AI28" s="38">
        <f t="shared" si="23"/>
        <v>678</v>
      </c>
      <c r="AJ28" s="38">
        <f t="shared" si="24"/>
        <v>962.5</v>
      </c>
      <c r="AK28" s="42">
        <f t="shared" si="25"/>
        <v>2161.5</v>
      </c>
      <c r="AL28" s="167">
        <f t="shared" si="26"/>
        <v>279.25</v>
      </c>
      <c r="AM28" s="38">
        <f t="shared" si="27"/>
        <v>432.33333333333331</v>
      </c>
      <c r="AN28" s="38">
        <f t="shared" si="28"/>
        <v>962.5</v>
      </c>
      <c r="AO28" s="42">
        <f t="shared" si="29"/>
        <v>1674.0833333333333</v>
      </c>
    </row>
    <row r="29" spans="1:41" x14ac:dyDescent="0.25">
      <c r="A29" s="232" t="s">
        <v>25</v>
      </c>
      <c r="B29" s="38">
        <v>1.56</v>
      </c>
      <c r="C29" s="38">
        <v>1.64</v>
      </c>
      <c r="D29" s="38">
        <v>2.0099999999999998</v>
      </c>
      <c r="E29" s="38">
        <v>2.33</v>
      </c>
      <c r="F29" s="38">
        <v>2.4900000000000002</v>
      </c>
      <c r="G29" s="38">
        <v>1.92</v>
      </c>
      <c r="H29" s="38">
        <v>2.54</v>
      </c>
      <c r="I29" s="38">
        <v>2.57</v>
      </c>
      <c r="J29" s="38">
        <v>2.27</v>
      </c>
      <c r="K29" s="38">
        <v>2.35</v>
      </c>
      <c r="L29" s="230">
        <f t="shared" si="0"/>
        <v>21.680000000000003</v>
      </c>
      <c r="M29" s="244">
        <f t="shared" si="1"/>
        <v>0.52</v>
      </c>
      <c r="N29" s="38">
        <f t="shared" si="2"/>
        <v>1.165</v>
      </c>
      <c r="O29" s="38">
        <f t="shared" si="3"/>
        <v>2.4900000000000002</v>
      </c>
      <c r="P29" s="38">
        <f t="shared" si="4"/>
        <v>1.92</v>
      </c>
      <c r="Q29" s="38">
        <f t="shared" si="5"/>
        <v>1.27</v>
      </c>
      <c r="R29" s="166">
        <f t="shared" si="6"/>
        <v>7.3650000000000002</v>
      </c>
      <c r="S29" s="244">
        <f t="shared" si="7"/>
        <v>0.52</v>
      </c>
      <c r="T29" s="38">
        <f t="shared" si="8"/>
        <v>1.165</v>
      </c>
      <c r="U29" s="38">
        <f t="shared" si="9"/>
        <v>1.27</v>
      </c>
      <c r="V29" s="42">
        <f t="shared" si="10"/>
        <v>2.9550000000000001</v>
      </c>
      <c r="W29" s="253">
        <f t="shared" si="11"/>
        <v>0.52</v>
      </c>
      <c r="X29" s="38">
        <f t="shared" si="12"/>
        <v>0.66999999999999993</v>
      </c>
      <c r="Y29" s="38">
        <f t="shared" si="13"/>
        <v>0.64249999999999996</v>
      </c>
      <c r="Z29" s="42">
        <f t="shared" si="14"/>
        <v>1.8325</v>
      </c>
      <c r="AA29" s="253">
        <f t="shared" si="15"/>
        <v>0.82</v>
      </c>
      <c r="AB29" s="38">
        <f t="shared" si="16"/>
        <v>0.66999999999999993</v>
      </c>
      <c r="AC29" s="38">
        <f t="shared" si="17"/>
        <v>0.64249999999999996</v>
      </c>
      <c r="AD29" s="42">
        <f t="shared" si="18"/>
        <v>2.1324999999999998</v>
      </c>
      <c r="AE29" s="244">
        <f t="shared" si="19"/>
        <v>0.82</v>
      </c>
      <c r="AF29" s="38">
        <f t="shared" si="20"/>
        <v>0.64249999999999996</v>
      </c>
      <c r="AG29" s="166">
        <f t="shared" si="21"/>
        <v>1.4624999999999999</v>
      </c>
      <c r="AH29" s="243">
        <f t="shared" si="22"/>
        <v>0.64249999999999996</v>
      </c>
      <c r="AI29" s="50">
        <f t="shared" si="23"/>
        <v>2.27</v>
      </c>
      <c r="AJ29" s="38">
        <f t="shared" si="24"/>
        <v>1.175</v>
      </c>
      <c r="AK29" s="42">
        <f t="shared" si="25"/>
        <v>4.0875000000000004</v>
      </c>
      <c r="AL29" s="253">
        <f t="shared" si="26"/>
        <v>0.41</v>
      </c>
      <c r="AM29" s="38">
        <f t="shared" si="27"/>
        <v>0.66999999999999993</v>
      </c>
      <c r="AN29" s="38">
        <f t="shared" si="28"/>
        <v>1.175</v>
      </c>
      <c r="AO29" s="42">
        <f t="shared" si="29"/>
        <v>2.2549999999999999</v>
      </c>
    </row>
    <row r="30" spans="1:41" x14ac:dyDescent="0.25">
      <c r="A30" s="232" t="s">
        <v>509</v>
      </c>
      <c r="B30" s="38">
        <v>303</v>
      </c>
      <c r="C30" s="38">
        <v>181</v>
      </c>
      <c r="D30" s="38">
        <v>513</v>
      </c>
      <c r="E30" s="38">
        <v>627</v>
      </c>
      <c r="F30" s="38">
        <v>434</v>
      </c>
      <c r="G30" s="38">
        <v>771</v>
      </c>
      <c r="H30" s="38">
        <v>137</v>
      </c>
      <c r="I30" s="38">
        <v>359</v>
      </c>
      <c r="J30" s="38">
        <v>324</v>
      </c>
      <c r="K30" s="38">
        <v>963</v>
      </c>
      <c r="L30" s="230">
        <f t="shared" si="0"/>
        <v>4612</v>
      </c>
      <c r="M30" s="244">
        <f t="shared" si="1"/>
        <v>101</v>
      </c>
      <c r="N30" s="38">
        <f t="shared" si="2"/>
        <v>313.5</v>
      </c>
      <c r="O30" s="38">
        <f t="shared" si="3"/>
        <v>434</v>
      </c>
      <c r="P30" s="38">
        <f t="shared" si="4"/>
        <v>771</v>
      </c>
      <c r="Q30" s="38">
        <f t="shared" si="5"/>
        <v>68.5</v>
      </c>
      <c r="R30" s="166">
        <f t="shared" si="6"/>
        <v>1688</v>
      </c>
      <c r="S30" s="244">
        <f t="shared" si="7"/>
        <v>101</v>
      </c>
      <c r="T30" s="38">
        <f t="shared" si="8"/>
        <v>313.5</v>
      </c>
      <c r="U30" s="38">
        <f t="shared" si="9"/>
        <v>68.5</v>
      </c>
      <c r="V30" s="42">
        <f t="shared" si="10"/>
        <v>483</v>
      </c>
      <c r="W30" s="253">
        <f t="shared" si="11"/>
        <v>101</v>
      </c>
      <c r="X30" s="38">
        <f t="shared" si="12"/>
        <v>171</v>
      </c>
      <c r="Y30" s="38">
        <f t="shared" si="13"/>
        <v>89.75</v>
      </c>
      <c r="Z30" s="42">
        <f t="shared" si="14"/>
        <v>361.75</v>
      </c>
      <c r="AA30" s="253">
        <f t="shared" si="15"/>
        <v>90.5</v>
      </c>
      <c r="AB30" s="38">
        <f t="shared" si="16"/>
        <v>171</v>
      </c>
      <c r="AC30" s="38">
        <f t="shared" si="17"/>
        <v>89.75</v>
      </c>
      <c r="AD30" s="42">
        <f t="shared" si="18"/>
        <v>351.25</v>
      </c>
      <c r="AE30" s="244">
        <f t="shared" si="19"/>
        <v>90.5</v>
      </c>
      <c r="AF30" s="38">
        <f t="shared" si="20"/>
        <v>89.75</v>
      </c>
      <c r="AG30" s="166">
        <f t="shared" si="21"/>
        <v>180.25</v>
      </c>
      <c r="AH30" s="243">
        <f t="shared" si="22"/>
        <v>89.75</v>
      </c>
      <c r="AI30" s="50">
        <f t="shared" si="23"/>
        <v>324</v>
      </c>
      <c r="AJ30" s="38">
        <f t="shared" si="24"/>
        <v>481.5</v>
      </c>
      <c r="AK30" s="42">
        <f t="shared" si="25"/>
        <v>895.25</v>
      </c>
      <c r="AL30" s="253">
        <f t="shared" si="26"/>
        <v>45.25</v>
      </c>
      <c r="AM30" s="38">
        <f t="shared" si="27"/>
        <v>171</v>
      </c>
      <c r="AN30" s="38">
        <f t="shared" si="28"/>
        <v>481.5</v>
      </c>
      <c r="AO30" s="42">
        <f t="shared" si="29"/>
        <v>697.75</v>
      </c>
    </row>
    <row r="31" spans="1:41" x14ac:dyDescent="0.25">
      <c r="A31" s="232" t="s">
        <v>26</v>
      </c>
      <c r="B31" s="38">
        <v>2.86</v>
      </c>
      <c r="C31" s="38">
        <v>2.69</v>
      </c>
      <c r="D31" s="38">
        <v>2.88</v>
      </c>
      <c r="E31" s="38">
        <v>3.53</v>
      </c>
      <c r="F31" s="38">
        <v>3.05</v>
      </c>
      <c r="G31" s="38">
        <v>2.77</v>
      </c>
      <c r="H31" s="38">
        <v>2.36</v>
      </c>
      <c r="I31" s="38">
        <v>3.07</v>
      </c>
      <c r="J31" s="38">
        <v>3.15</v>
      </c>
      <c r="K31" s="38">
        <v>3.21</v>
      </c>
      <c r="L31" s="230">
        <f t="shared" si="0"/>
        <v>29.569999999999997</v>
      </c>
      <c r="M31" s="244">
        <f t="shared" si="1"/>
        <v>0.95333333333333325</v>
      </c>
      <c r="N31" s="38">
        <f t="shared" si="2"/>
        <v>1.7649999999999999</v>
      </c>
      <c r="O31" s="38">
        <f t="shared" si="3"/>
        <v>3.05</v>
      </c>
      <c r="P31" s="38">
        <f t="shared" si="4"/>
        <v>2.77</v>
      </c>
      <c r="Q31" s="38">
        <f t="shared" si="5"/>
        <v>1.18</v>
      </c>
      <c r="R31" s="166">
        <f t="shared" si="6"/>
        <v>9.7183333333333319</v>
      </c>
      <c r="S31" s="244">
        <f t="shared" si="7"/>
        <v>0.95333333333333325</v>
      </c>
      <c r="T31" s="38">
        <f t="shared" si="8"/>
        <v>1.7649999999999999</v>
      </c>
      <c r="U31" s="38">
        <f t="shared" si="9"/>
        <v>1.18</v>
      </c>
      <c r="V31" s="42">
        <f t="shared" si="10"/>
        <v>3.8983333333333334</v>
      </c>
      <c r="W31" s="253">
        <f t="shared" si="11"/>
        <v>0.95333333333333325</v>
      </c>
      <c r="X31" s="38">
        <f t="shared" si="12"/>
        <v>0.96</v>
      </c>
      <c r="Y31" s="38">
        <f t="shared" si="13"/>
        <v>0.76749999999999996</v>
      </c>
      <c r="Z31" s="42">
        <f t="shared" si="14"/>
        <v>2.6808333333333332</v>
      </c>
      <c r="AA31" s="253">
        <f t="shared" si="15"/>
        <v>1.345</v>
      </c>
      <c r="AB31" s="38">
        <f t="shared" si="16"/>
        <v>0.96</v>
      </c>
      <c r="AC31" s="38">
        <f t="shared" si="17"/>
        <v>0.76749999999999996</v>
      </c>
      <c r="AD31" s="42">
        <f t="shared" si="18"/>
        <v>3.0724999999999998</v>
      </c>
      <c r="AE31" s="244">
        <f t="shared" si="19"/>
        <v>1.345</v>
      </c>
      <c r="AF31" s="38">
        <f t="shared" si="20"/>
        <v>0.76749999999999996</v>
      </c>
      <c r="AG31" s="166">
        <f t="shared" si="21"/>
        <v>2.1124999999999998</v>
      </c>
      <c r="AH31" s="243">
        <f t="shared" si="22"/>
        <v>0.76749999999999996</v>
      </c>
      <c r="AI31" s="50">
        <f t="shared" si="23"/>
        <v>3.15</v>
      </c>
      <c r="AJ31" s="38">
        <f t="shared" si="24"/>
        <v>1.605</v>
      </c>
      <c r="AK31" s="42">
        <f t="shared" si="25"/>
        <v>5.5225</v>
      </c>
      <c r="AL31" s="253">
        <f t="shared" si="26"/>
        <v>0.67249999999999999</v>
      </c>
      <c r="AM31" s="38">
        <f t="shared" si="27"/>
        <v>0.96</v>
      </c>
      <c r="AN31" s="38">
        <f t="shared" si="28"/>
        <v>1.605</v>
      </c>
      <c r="AO31" s="42">
        <f t="shared" si="29"/>
        <v>3.2374999999999998</v>
      </c>
    </row>
    <row r="32" spans="1:41" x14ac:dyDescent="0.25">
      <c r="A32" s="232" t="s">
        <v>23</v>
      </c>
      <c r="B32" s="38">
        <v>2201</v>
      </c>
      <c r="C32" s="38">
        <v>1253</v>
      </c>
      <c r="D32" s="38">
        <v>1575</v>
      </c>
      <c r="E32" s="38">
        <v>1752</v>
      </c>
      <c r="F32" s="38">
        <v>745</v>
      </c>
      <c r="G32" s="38">
        <v>1857</v>
      </c>
      <c r="H32" s="38">
        <v>999</v>
      </c>
      <c r="I32" s="38">
        <v>2205</v>
      </c>
      <c r="J32" s="38">
        <v>755</v>
      </c>
      <c r="K32" s="38">
        <v>2370</v>
      </c>
      <c r="L32" s="230">
        <f t="shared" si="0"/>
        <v>15712</v>
      </c>
      <c r="M32" s="244">
        <f t="shared" si="1"/>
        <v>733.66666666666663</v>
      </c>
      <c r="N32" s="38">
        <f t="shared" si="2"/>
        <v>876</v>
      </c>
      <c r="O32" s="38">
        <f t="shared" si="3"/>
        <v>745</v>
      </c>
      <c r="P32" s="38">
        <f t="shared" si="4"/>
        <v>1857</v>
      </c>
      <c r="Q32" s="38">
        <f t="shared" si="5"/>
        <v>499.5</v>
      </c>
      <c r="R32" s="166">
        <f t="shared" si="6"/>
        <v>4711.1666666666661</v>
      </c>
      <c r="S32" s="244">
        <f t="shared" si="7"/>
        <v>733.66666666666663</v>
      </c>
      <c r="T32" s="38">
        <f t="shared" si="8"/>
        <v>876</v>
      </c>
      <c r="U32" s="38">
        <f t="shared" si="9"/>
        <v>499.5</v>
      </c>
      <c r="V32" s="42">
        <f t="shared" si="10"/>
        <v>2109.1666666666665</v>
      </c>
      <c r="W32" s="253">
        <f t="shared" si="11"/>
        <v>733.66666666666663</v>
      </c>
      <c r="X32" s="38">
        <f t="shared" si="12"/>
        <v>525</v>
      </c>
      <c r="Y32" s="38">
        <f t="shared" si="13"/>
        <v>551.25</v>
      </c>
      <c r="Z32" s="42">
        <f t="shared" si="14"/>
        <v>1809.9166666666665</v>
      </c>
      <c r="AA32" s="253">
        <f t="shared" si="15"/>
        <v>626.5</v>
      </c>
      <c r="AB32" s="38">
        <f t="shared" si="16"/>
        <v>525</v>
      </c>
      <c r="AC32" s="38">
        <f t="shared" si="17"/>
        <v>551.25</v>
      </c>
      <c r="AD32" s="42">
        <f t="shared" si="18"/>
        <v>1702.75</v>
      </c>
      <c r="AE32" s="244">
        <f t="shared" si="19"/>
        <v>626.5</v>
      </c>
      <c r="AF32" s="38">
        <f t="shared" si="20"/>
        <v>551.25</v>
      </c>
      <c r="AG32" s="166">
        <f t="shared" si="21"/>
        <v>1177.75</v>
      </c>
      <c r="AH32" s="243">
        <f t="shared" si="22"/>
        <v>551.25</v>
      </c>
      <c r="AI32" s="50">
        <f t="shared" si="23"/>
        <v>755</v>
      </c>
      <c r="AJ32" s="38">
        <f t="shared" si="24"/>
        <v>1185</v>
      </c>
      <c r="AK32" s="42">
        <f t="shared" si="25"/>
        <v>2491.25</v>
      </c>
      <c r="AL32" s="253">
        <f t="shared" si="26"/>
        <v>313.25</v>
      </c>
      <c r="AM32" s="38">
        <f t="shared" si="27"/>
        <v>525</v>
      </c>
      <c r="AN32" s="38">
        <f t="shared" si="28"/>
        <v>1185</v>
      </c>
      <c r="AO32" s="42">
        <f t="shared" si="29"/>
        <v>2023.25</v>
      </c>
    </row>
    <row r="33" spans="1:41" x14ac:dyDescent="0.25">
      <c r="A33" s="232" t="s">
        <v>27</v>
      </c>
      <c r="B33" s="38">
        <v>1956</v>
      </c>
      <c r="C33" s="38">
        <v>1117</v>
      </c>
      <c r="D33" s="38">
        <v>1297</v>
      </c>
      <c r="E33" s="38">
        <v>1419</v>
      </c>
      <c r="F33" s="38">
        <v>663</v>
      </c>
      <c r="G33" s="38">
        <v>1740</v>
      </c>
      <c r="H33" s="38">
        <v>856</v>
      </c>
      <c r="I33" s="38">
        <v>2084</v>
      </c>
      <c r="J33" s="38">
        <v>678</v>
      </c>
      <c r="K33" s="38">
        <v>1925</v>
      </c>
      <c r="L33" s="230">
        <f t="shared" si="0"/>
        <v>13735</v>
      </c>
      <c r="M33" s="244">
        <f t="shared" si="1"/>
        <v>652</v>
      </c>
      <c r="N33" s="38">
        <f t="shared" si="2"/>
        <v>709.5</v>
      </c>
      <c r="O33" s="38">
        <f t="shared" si="3"/>
        <v>663</v>
      </c>
      <c r="P33" s="38">
        <f t="shared" si="4"/>
        <v>1740</v>
      </c>
      <c r="Q33" s="38">
        <f t="shared" si="5"/>
        <v>428</v>
      </c>
      <c r="R33" s="166">
        <f t="shared" si="6"/>
        <v>4192.5</v>
      </c>
      <c r="S33" s="244">
        <f t="shared" si="7"/>
        <v>652</v>
      </c>
      <c r="T33" s="38">
        <f t="shared" si="8"/>
        <v>709.5</v>
      </c>
      <c r="U33" s="38">
        <f t="shared" si="9"/>
        <v>428</v>
      </c>
      <c r="V33" s="42">
        <f t="shared" si="10"/>
        <v>1789.5</v>
      </c>
      <c r="W33" s="253">
        <f t="shared" si="11"/>
        <v>652</v>
      </c>
      <c r="X33" s="38">
        <f t="shared" si="12"/>
        <v>432.33333333333331</v>
      </c>
      <c r="Y33" s="38">
        <f t="shared" si="13"/>
        <v>521</v>
      </c>
      <c r="Z33" s="42">
        <f t="shared" si="14"/>
        <v>1605.3333333333333</v>
      </c>
      <c r="AA33" s="253">
        <f t="shared" si="15"/>
        <v>558.5</v>
      </c>
      <c r="AB33" s="38">
        <f t="shared" si="16"/>
        <v>432.33333333333331</v>
      </c>
      <c r="AC33" s="38">
        <f t="shared" si="17"/>
        <v>521</v>
      </c>
      <c r="AD33" s="42">
        <f t="shared" si="18"/>
        <v>1511.8333333333333</v>
      </c>
      <c r="AE33" s="244">
        <f t="shared" si="19"/>
        <v>558.5</v>
      </c>
      <c r="AF33" s="38">
        <f t="shared" si="20"/>
        <v>521</v>
      </c>
      <c r="AG33" s="166">
        <f t="shared" si="21"/>
        <v>1079.5</v>
      </c>
      <c r="AH33" s="243">
        <f t="shared" si="22"/>
        <v>521</v>
      </c>
      <c r="AI33" s="50">
        <f t="shared" si="23"/>
        <v>678</v>
      </c>
      <c r="AJ33" s="38">
        <f t="shared" si="24"/>
        <v>962.5</v>
      </c>
      <c r="AK33" s="42">
        <f t="shared" si="25"/>
        <v>2161.5</v>
      </c>
      <c r="AL33" s="253">
        <f t="shared" si="26"/>
        <v>279.25</v>
      </c>
      <c r="AM33" s="38">
        <f t="shared" si="27"/>
        <v>432.33333333333331</v>
      </c>
      <c r="AN33" s="38">
        <f t="shared" si="28"/>
        <v>962.5</v>
      </c>
      <c r="AO33" s="42">
        <f t="shared" si="29"/>
        <v>1674.0833333333333</v>
      </c>
    </row>
    <row r="34" spans="1:41" x14ac:dyDescent="0.25">
      <c r="A34" s="232" t="s">
        <v>28</v>
      </c>
      <c r="B34" s="38">
        <v>245</v>
      </c>
      <c r="C34" s="38">
        <v>136</v>
      </c>
      <c r="D34" s="38">
        <v>278</v>
      </c>
      <c r="E34" s="38">
        <v>333</v>
      </c>
      <c r="F34" s="38">
        <v>82</v>
      </c>
      <c r="G34" s="38">
        <v>117</v>
      </c>
      <c r="H34" s="38">
        <v>143</v>
      </c>
      <c r="I34" s="38">
        <v>121</v>
      </c>
      <c r="J34" s="38">
        <v>77</v>
      </c>
      <c r="K34" s="38">
        <v>445</v>
      </c>
      <c r="L34" s="42">
        <f t="shared" si="0"/>
        <v>1977</v>
      </c>
      <c r="M34" s="243">
        <f t="shared" si="1"/>
        <v>81.666666666666657</v>
      </c>
      <c r="N34" s="38">
        <f t="shared" si="2"/>
        <v>166.5</v>
      </c>
      <c r="O34" s="38">
        <f t="shared" si="3"/>
        <v>82</v>
      </c>
      <c r="P34" s="38">
        <f t="shared" si="4"/>
        <v>117</v>
      </c>
      <c r="Q34" s="38">
        <f t="shared" si="5"/>
        <v>71.5</v>
      </c>
      <c r="R34" s="166">
        <f t="shared" si="6"/>
        <v>518.66666666666663</v>
      </c>
      <c r="S34" s="243">
        <f t="shared" si="7"/>
        <v>81.666666666666657</v>
      </c>
      <c r="T34" s="38">
        <f t="shared" si="8"/>
        <v>166.5</v>
      </c>
      <c r="U34" s="38">
        <f t="shared" si="9"/>
        <v>71.5</v>
      </c>
      <c r="V34" s="42">
        <f t="shared" si="10"/>
        <v>319.66666666666663</v>
      </c>
      <c r="W34" s="167">
        <f t="shared" si="11"/>
        <v>81.666666666666657</v>
      </c>
      <c r="X34" s="38">
        <f t="shared" si="12"/>
        <v>92.666666666666657</v>
      </c>
      <c r="Y34" s="38">
        <f t="shared" si="13"/>
        <v>30.25</v>
      </c>
      <c r="Z34" s="42">
        <f t="shared" si="14"/>
        <v>204.58333333333331</v>
      </c>
      <c r="AA34" s="167">
        <f t="shared" si="15"/>
        <v>68</v>
      </c>
      <c r="AB34" s="38">
        <f t="shared" si="16"/>
        <v>92.666666666666657</v>
      </c>
      <c r="AC34" s="38">
        <f t="shared" si="17"/>
        <v>30.25</v>
      </c>
      <c r="AD34" s="42">
        <f t="shared" si="18"/>
        <v>190.91666666666666</v>
      </c>
      <c r="AE34" s="243">
        <f t="shared" si="19"/>
        <v>68</v>
      </c>
      <c r="AF34" s="38">
        <f t="shared" si="20"/>
        <v>30.25</v>
      </c>
      <c r="AG34" s="166">
        <f t="shared" si="21"/>
        <v>98.25</v>
      </c>
      <c r="AH34" s="243">
        <f t="shared" si="22"/>
        <v>30.25</v>
      </c>
      <c r="AI34" s="38">
        <f t="shared" si="23"/>
        <v>77</v>
      </c>
      <c r="AJ34" s="38">
        <f t="shared" si="24"/>
        <v>222.5</v>
      </c>
      <c r="AK34" s="42">
        <f t="shared" si="25"/>
        <v>329.75</v>
      </c>
      <c r="AL34" s="167">
        <f t="shared" si="26"/>
        <v>34</v>
      </c>
      <c r="AM34" s="38">
        <f t="shared" si="27"/>
        <v>92.666666666666657</v>
      </c>
      <c r="AN34" s="38">
        <f t="shared" si="28"/>
        <v>222.5</v>
      </c>
      <c r="AO34" s="42">
        <f t="shared" si="29"/>
        <v>349.16666666666663</v>
      </c>
    </row>
    <row r="35" spans="1:41" x14ac:dyDescent="0.25">
      <c r="A35" s="232" t="s">
        <v>670</v>
      </c>
      <c r="B35" s="38">
        <v>188300</v>
      </c>
      <c r="C35" s="38">
        <v>248600</v>
      </c>
      <c r="D35" s="38">
        <v>113600</v>
      </c>
      <c r="E35" s="38">
        <v>71300</v>
      </c>
      <c r="F35" s="38">
        <v>88500</v>
      </c>
      <c r="G35" s="38">
        <v>170600</v>
      </c>
      <c r="H35" s="38">
        <v>225000</v>
      </c>
      <c r="I35" s="38">
        <v>170900</v>
      </c>
      <c r="J35" s="38">
        <v>74600</v>
      </c>
      <c r="K35" s="38">
        <v>58800</v>
      </c>
      <c r="L35" s="42">
        <f>((B35*B32)+(C35*C32)+(D35*D32)+(E35*E32)+(F35*F32)+(G35*G32)+(H35*H32)+(I35*I32)+(J35*J32)+(K35*K32))/L32</f>
        <v>140644.53284114052</v>
      </c>
      <c r="M35" s="243">
        <f>B35</f>
        <v>188300</v>
      </c>
      <c r="N35" s="38">
        <f t="shared" ref="N35" si="31">E35</f>
        <v>71300</v>
      </c>
      <c r="O35" s="38">
        <f t="shared" si="3"/>
        <v>88500</v>
      </c>
      <c r="P35" s="38">
        <f t="shared" si="4"/>
        <v>170600</v>
      </c>
      <c r="Q35" s="38">
        <f t="shared" ref="Q35" si="32">H35</f>
        <v>225000</v>
      </c>
      <c r="R35" s="166">
        <f>((M35*$M$32)+(N35*$N$32)+(O35*$O$32)+(P35*$P$32)+(Q35*$Q$32))/$R$32</f>
        <v>147677.31276753813</v>
      </c>
      <c r="S35" s="243">
        <f t="shared" ref="S35" si="33">B35</f>
        <v>188300</v>
      </c>
      <c r="T35" s="38">
        <f t="shared" ref="T35" si="34">E35</f>
        <v>71300</v>
      </c>
      <c r="U35" s="38">
        <f t="shared" ref="U35" si="35">H35</f>
        <v>225000</v>
      </c>
      <c r="V35" s="42">
        <f>((S35*$S$32)+(T35*$T$32)+(U35*$U$32))/$V$32</f>
        <v>148397.81904385617</v>
      </c>
      <c r="W35" s="167">
        <f t="shared" ref="W35" si="36">B35</f>
        <v>188300</v>
      </c>
      <c r="X35" s="38">
        <f t="shared" ref="X35" si="37">D35</f>
        <v>113600</v>
      </c>
      <c r="Y35" s="38">
        <f t="shared" ref="Y35" si="38">I35</f>
        <v>170900</v>
      </c>
      <c r="Z35" s="42">
        <f>((W35*$W$32)+(X35*$X$32)+(Y35*$Y$32))/$Z$32</f>
        <v>161332.32193010728</v>
      </c>
      <c r="AA35" s="167">
        <f t="shared" ref="AA35" si="39">C35</f>
        <v>248600</v>
      </c>
      <c r="AB35" s="38">
        <f t="shared" ref="AB35" si="40">D35</f>
        <v>113600</v>
      </c>
      <c r="AC35" s="38">
        <f t="shared" ref="AC35" si="41">I35</f>
        <v>170900</v>
      </c>
      <c r="AD35" s="42">
        <f>((AA35*$AA$32)+(AB35*$AB$32)+(AC35*$AC$32))/$AD$32</f>
        <v>181821.47995889004</v>
      </c>
      <c r="AE35" s="243">
        <f t="shared" ref="AE35" si="42">C35</f>
        <v>248600</v>
      </c>
      <c r="AF35" s="38">
        <f t="shared" ref="AF35" si="43">I35</f>
        <v>170900</v>
      </c>
      <c r="AG35" s="166">
        <f>((AE35*$AE$32)+(AF35*$AF$32))/$AG$32</f>
        <v>212232.24368499257</v>
      </c>
      <c r="AH35" s="243">
        <f t="shared" ref="AH35" si="44">I35</f>
        <v>170900</v>
      </c>
      <c r="AI35" s="38">
        <f t="shared" si="23"/>
        <v>74600</v>
      </c>
      <c r="AJ35" s="38">
        <f t="shared" ref="AJ35" si="45">K35</f>
        <v>58800</v>
      </c>
      <c r="AK35" s="42">
        <f>((AH35*$AH$32)+(AI35*$AI$32)+(AJ35*$AJ$32))/$AK$32</f>
        <v>88393.226292022082</v>
      </c>
      <c r="AL35" s="167">
        <f t="shared" ref="AL35" si="46">C35</f>
        <v>248600</v>
      </c>
      <c r="AM35" s="38">
        <f t="shared" ref="AM35" si="47">D35</f>
        <v>113600</v>
      </c>
      <c r="AN35" s="38">
        <f t="shared" ref="AN35" si="48">K35</f>
        <v>58800</v>
      </c>
      <c r="AO35" s="42">
        <f>((AL35*$AL$32)+(AM35*$AM$32)+(AN35*$AN$32))/$AO$32</f>
        <v>102405.51093537625</v>
      </c>
    </row>
    <row r="36" spans="1:41" x14ac:dyDescent="0.25">
      <c r="A36" s="192" t="s">
        <v>46</v>
      </c>
      <c r="B36" s="38">
        <v>1733</v>
      </c>
      <c r="C36" s="38">
        <v>1016</v>
      </c>
      <c r="D36" s="38">
        <v>1759</v>
      </c>
      <c r="E36" s="38">
        <v>1187</v>
      </c>
      <c r="F36" s="38">
        <v>586</v>
      </c>
      <c r="G36" s="38">
        <v>1791</v>
      </c>
      <c r="H36" s="38">
        <v>2190</v>
      </c>
      <c r="I36" s="38">
        <v>2388</v>
      </c>
      <c r="J36" s="38">
        <v>721</v>
      </c>
      <c r="K36" s="38">
        <v>1751</v>
      </c>
      <c r="L36" s="42">
        <f t="shared" si="0"/>
        <v>15122</v>
      </c>
      <c r="M36" s="243">
        <f t="shared" si="1"/>
        <v>577.66666666666663</v>
      </c>
      <c r="N36" s="38">
        <f t="shared" si="2"/>
        <v>593.5</v>
      </c>
      <c r="O36" s="38">
        <f t="shared" si="3"/>
        <v>586</v>
      </c>
      <c r="P36" s="38">
        <f t="shared" si="4"/>
        <v>1791</v>
      </c>
      <c r="Q36" s="38">
        <f t="shared" si="5"/>
        <v>1095</v>
      </c>
      <c r="R36" s="166">
        <f t="shared" si="6"/>
        <v>4643.1666666666661</v>
      </c>
      <c r="S36" s="243">
        <f t="shared" si="7"/>
        <v>577.66666666666663</v>
      </c>
      <c r="T36" s="38">
        <f t="shared" si="8"/>
        <v>593.5</v>
      </c>
      <c r="U36" s="38">
        <f t="shared" si="9"/>
        <v>1095</v>
      </c>
      <c r="V36" s="42">
        <f t="shared" si="10"/>
        <v>2266.1666666666665</v>
      </c>
      <c r="W36" s="167">
        <f t="shared" si="11"/>
        <v>577.66666666666663</v>
      </c>
      <c r="X36" s="38">
        <f t="shared" si="12"/>
        <v>586.33333333333326</v>
      </c>
      <c r="Y36" s="38">
        <f t="shared" si="13"/>
        <v>597</v>
      </c>
      <c r="Z36" s="42">
        <f t="shared" si="14"/>
        <v>1761</v>
      </c>
      <c r="AA36" s="167">
        <f t="shared" si="15"/>
        <v>508</v>
      </c>
      <c r="AB36" s="38">
        <f t="shared" si="16"/>
        <v>586.33333333333326</v>
      </c>
      <c r="AC36" s="38">
        <f t="shared" si="17"/>
        <v>597</v>
      </c>
      <c r="AD36" s="42">
        <f t="shared" si="18"/>
        <v>1691.3333333333333</v>
      </c>
      <c r="AE36" s="243">
        <f t="shared" si="19"/>
        <v>508</v>
      </c>
      <c r="AF36" s="38">
        <f t="shared" si="20"/>
        <v>597</v>
      </c>
      <c r="AG36" s="166">
        <f t="shared" si="21"/>
        <v>1105</v>
      </c>
      <c r="AH36" s="243">
        <f t="shared" si="22"/>
        <v>597</v>
      </c>
      <c r="AI36" s="38">
        <f t="shared" si="23"/>
        <v>721</v>
      </c>
      <c r="AJ36" s="38">
        <f t="shared" si="24"/>
        <v>875.5</v>
      </c>
      <c r="AK36" s="42">
        <f t="shared" si="25"/>
        <v>2193.5</v>
      </c>
      <c r="AL36" s="167">
        <f t="shared" si="26"/>
        <v>254</v>
      </c>
      <c r="AM36" s="38">
        <f t="shared" si="27"/>
        <v>586.33333333333326</v>
      </c>
      <c r="AN36" s="38">
        <f t="shared" si="28"/>
        <v>875.5</v>
      </c>
      <c r="AO36" s="42">
        <f t="shared" si="29"/>
        <v>1715.8333333333333</v>
      </c>
    </row>
    <row r="37" spans="1:41" ht="15" customHeight="1" x14ac:dyDescent="0.25">
      <c r="A37" s="192" t="s">
        <v>424</v>
      </c>
      <c r="B37" s="38"/>
      <c r="C37" s="38"/>
      <c r="D37" s="38"/>
      <c r="E37" s="38"/>
      <c r="F37" s="38"/>
      <c r="G37" s="38"/>
      <c r="H37" s="38"/>
      <c r="I37" s="38"/>
      <c r="J37" s="38"/>
      <c r="K37" s="38"/>
      <c r="L37" s="42"/>
      <c r="M37" s="243"/>
      <c r="N37" s="5"/>
      <c r="O37" s="38"/>
      <c r="P37" s="38"/>
      <c r="Q37" s="5"/>
      <c r="R37" s="237"/>
      <c r="S37" s="243"/>
      <c r="T37" s="5"/>
      <c r="U37" s="5"/>
      <c r="V37" s="43"/>
      <c r="W37" s="167"/>
      <c r="X37" s="5"/>
      <c r="Y37" s="5"/>
      <c r="Z37" s="43"/>
      <c r="AA37" s="167"/>
      <c r="AB37" s="5"/>
      <c r="AC37" s="5"/>
      <c r="AD37" s="43"/>
      <c r="AE37" s="243"/>
      <c r="AF37" s="5"/>
      <c r="AG37" s="237"/>
      <c r="AH37" s="41"/>
      <c r="AI37" s="38"/>
      <c r="AJ37" s="5"/>
      <c r="AK37" s="43"/>
      <c r="AL37" s="167"/>
      <c r="AM37" s="5"/>
      <c r="AN37" s="5"/>
      <c r="AO37" s="43"/>
    </row>
    <row r="38" spans="1:41" x14ac:dyDescent="0.25">
      <c r="A38" s="192" t="s">
        <v>425</v>
      </c>
      <c r="B38" s="35">
        <v>0.63</v>
      </c>
      <c r="C38" s="35">
        <v>0.67500000000000004</v>
      </c>
      <c r="D38" s="35">
        <v>0.66600000000000004</v>
      </c>
      <c r="E38" s="35">
        <v>0.79400000000000004</v>
      </c>
      <c r="F38" s="35">
        <v>0.877</v>
      </c>
      <c r="G38" s="35">
        <v>0.84799999999999998</v>
      </c>
      <c r="H38" s="35">
        <v>0.53200000000000003</v>
      </c>
      <c r="I38" s="194">
        <v>0.77600000000000002</v>
      </c>
      <c r="J38" s="35">
        <v>0.81399999999999995</v>
      </c>
      <c r="K38" s="35">
        <v>0.93400000000000005</v>
      </c>
      <c r="L38" s="198">
        <f>((B38*$B$36)+(C38*$C$36)+(D38*$D$36)+(E38*$E$36)+(F38*$F$36)+(G38*$G$36)+(H38*$H$36)+(I38*$I$36)+(J38*$J$36)+(K38*$K$36))/$L$36</f>
        <v>0.73831159899484189</v>
      </c>
      <c r="M38" s="245">
        <f t="shared" ref="M38:M49" si="49">B38</f>
        <v>0.63</v>
      </c>
      <c r="N38" s="35">
        <f t="shared" ref="N38:N49" si="50">E38</f>
        <v>0.79400000000000004</v>
      </c>
      <c r="O38" s="35">
        <f t="shared" ref="O38:O49" si="51">F38</f>
        <v>0.877</v>
      </c>
      <c r="P38" s="35">
        <f t="shared" ref="P38:P49" si="52">G38</f>
        <v>0.84799999999999998</v>
      </c>
      <c r="Q38" s="35">
        <f t="shared" ref="Q38:Q49" si="53">H38</f>
        <v>0.53200000000000003</v>
      </c>
      <c r="R38" s="238">
        <f>((M38*$M$36)+(N38*$N$36)+(O38*$O$36)+(P38*$P$36)+(Q38*$Q$36))/$R$36</f>
        <v>0.74311332065041835</v>
      </c>
      <c r="S38" s="245">
        <f t="shared" ref="S38:S49" si="54">B38</f>
        <v>0.63</v>
      </c>
      <c r="T38" s="35">
        <f t="shared" ref="T38:T49" si="55">E38</f>
        <v>0.79400000000000004</v>
      </c>
      <c r="U38" s="35">
        <f t="shared" ref="U38:U49" si="56">H38</f>
        <v>0.53200000000000003</v>
      </c>
      <c r="V38" s="195">
        <f>((S38*$S$36)+(T38*$T$36)+(U38*$U$36))/$V$36</f>
        <v>0.62559785246745625</v>
      </c>
      <c r="W38" s="254">
        <f t="shared" ref="W38:W49" si="57">B38</f>
        <v>0.63</v>
      </c>
      <c r="X38" s="35">
        <f t="shared" ref="X38:X49" si="58">D38</f>
        <v>0.66600000000000004</v>
      </c>
      <c r="Y38" s="35">
        <f t="shared" ref="Y38:Y49" si="59">I38</f>
        <v>0.77600000000000002</v>
      </c>
      <c r="Z38" s="195">
        <f>((W38*$W$36)+(X38*$X$36)+(Y38*$Y$36))/$Z$36</f>
        <v>0.6914821124361159</v>
      </c>
      <c r="AA38" s="254">
        <f t="shared" ref="AA38:AA49" si="60">C38</f>
        <v>0.67500000000000004</v>
      </c>
      <c r="AB38" s="35">
        <f t="shared" ref="AB38:AB49" si="61">D38</f>
        <v>0.66600000000000004</v>
      </c>
      <c r="AC38" s="35">
        <f t="shared" ref="AC38:AC49" si="62">I38</f>
        <v>0.77600000000000002</v>
      </c>
      <c r="AD38" s="195">
        <f>((AA38*$AA$36)+(AB38*$AB$36)+(AC38*$AC$36))/$AD$36</f>
        <v>0.70753054789121017</v>
      </c>
      <c r="AE38" s="245">
        <f t="shared" ref="AE38:AE49" si="63">C38</f>
        <v>0.67500000000000004</v>
      </c>
      <c r="AF38" s="35">
        <f t="shared" ref="AF38:AF49" si="64">I38</f>
        <v>0.77600000000000002</v>
      </c>
      <c r="AG38" s="238">
        <f>((AE38*$AE$36)+(AF38*$AF$36))/$AG$36</f>
        <v>0.72956742081447967</v>
      </c>
      <c r="AH38" s="241">
        <f t="shared" ref="AH38:AH49" si="65">I38</f>
        <v>0.77600000000000002</v>
      </c>
      <c r="AI38" s="194">
        <f t="shared" ref="AI38:AI49" si="66">J38</f>
        <v>0.81399999999999995</v>
      </c>
      <c r="AJ38" s="35">
        <f t="shared" ref="AJ38:AJ49" si="67">K38</f>
        <v>0.93400000000000005</v>
      </c>
      <c r="AK38" s="195">
        <f>((AH38*$AH$36)+(AI38*$AI$36)+(AJ38*$AJ$36))/$AK$36</f>
        <v>0.8515536813312059</v>
      </c>
      <c r="AL38" s="254">
        <f t="shared" ref="AL38:AL49" si="68">C38</f>
        <v>0.67500000000000004</v>
      </c>
      <c r="AM38" s="35">
        <f t="shared" ref="AM38:AM49" si="69">D38</f>
        <v>0.66600000000000004</v>
      </c>
      <c r="AN38" s="35">
        <f t="shared" ref="AN38:AN49" si="70">K38</f>
        <v>0.93400000000000005</v>
      </c>
      <c r="AO38" s="195">
        <f>((AL38*$AL$36)+(AM38*$AM$36)+(AN38*$AN$36))/$AO$36</f>
        <v>0.80407867897037399</v>
      </c>
    </row>
    <row r="39" spans="1:41" x14ac:dyDescent="0.25">
      <c r="A39" s="192" t="s">
        <v>33</v>
      </c>
      <c r="B39" s="35">
        <v>0.55800000000000005</v>
      </c>
      <c r="C39" s="35">
        <v>0.57499999999999996</v>
      </c>
      <c r="D39" s="35">
        <v>0.54800000000000004</v>
      </c>
      <c r="E39" s="35">
        <v>0.66</v>
      </c>
      <c r="F39" s="35">
        <v>0.79400000000000004</v>
      </c>
      <c r="G39" s="35">
        <v>0.78500000000000003</v>
      </c>
      <c r="H39" s="35">
        <v>0.48899999999999999</v>
      </c>
      <c r="I39" s="35">
        <v>0.70399999999999996</v>
      </c>
      <c r="J39" s="35">
        <v>0.76300000000000001</v>
      </c>
      <c r="K39" s="35">
        <v>0.82199999999999995</v>
      </c>
      <c r="L39" s="198">
        <f t="shared" ref="L39:L60" si="71">((B39*$B$36)+(C39*$C$36)+(D39*$D$36)+(E39*$E$36)+(F39*$F$36)+(G39*$G$36)+(H39*$H$36)+(I39*$I$36)+(J39*$J$36)+(K39*$K$36))/$L$36</f>
        <v>0.65542203412247058</v>
      </c>
      <c r="M39" s="245">
        <f t="shared" si="49"/>
        <v>0.55800000000000005</v>
      </c>
      <c r="N39" s="35">
        <f t="shared" si="50"/>
        <v>0.66</v>
      </c>
      <c r="O39" s="35">
        <f t="shared" si="51"/>
        <v>0.79400000000000004</v>
      </c>
      <c r="P39" s="35">
        <f t="shared" si="52"/>
        <v>0.78500000000000003</v>
      </c>
      <c r="Q39" s="35">
        <f t="shared" si="53"/>
        <v>0.48899999999999999</v>
      </c>
      <c r="R39" s="238">
        <f t="shared" ref="R39:R60" si="72">((M39*$M$36)+(N39*$N$36)+(O39*$O$36)+(P39*$P$36)+(Q39*$Q$36))/$R$36</f>
        <v>0.67211070031228692</v>
      </c>
      <c r="S39" s="245">
        <f t="shared" si="54"/>
        <v>0.55800000000000005</v>
      </c>
      <c r="T39" s="35">
        <f t="shared" si="55"/>
        <v>0.66</v>
      </c>
      <c r="U39" s="35">
        <f t="shared" si="56"/>
        <v>0.48899999999999999</v>
      </c>
      <c r="V39" s="195">
        <f t="shared" ref="V39:V60" si="73">((S39*$S$36)+(T39*$T$36)+(U39*$U$36))/$V$36</f>
        <v>0.55137294991542263</v>
      </c>
      <c r="W39" s="254">
        <f t="shared" si="57"/>
        <v>0.55800000000000005</v>
      </c>
      <c r="X39" s="35">
        <f t="shared" si="58"/>
        <v>0.54800000000000004</v>
      </c>
      <c r="Y39" s="35">
        <f t="shared" si="59"/>
        <v>0.70399999999999996</v>
      </c>
      <c r="Z39" s="195">
        <f t="shared" ref="Z39:Z60" si="74">((W39*$W$36)+(X39*$X$36)+(Y39*$Y$36))/$Z$36</f>
        <v>0.60416619345069089</v>
      </c>
      <c r="AA39" s="254">
        <f t="shared" si="60"/>
        <v>0.57499999999999996</v>
      </c>
      <c r="AB39" s="35">
        <f t="shared" si="61"/>
        <v>0.54800000000000004</v>
      </c>
      <c r="AC39" s="35">
        <f t="shared" si="62"/>
        <v>0.70399999999999996</v>
      </c>
      <c r="AD39" s="195">
        <f t="shared" ref="AD39:AD60" si="75">((AA39*$AA$36)+(AB39*$AB$36)+(AC39*$AC$36))/$AD$36</f>
        <v>0.61117382735514392</v>
      </c>
      <c r="AE39" s="245">
        <f t="shared" si="63"/>
        <v>0.57499999999999996</v>
      </c>
      <c r="AF39" s="35">
        <f t="shared" si="64"/>
        <v>0.70399999999999996</v>
      </c>
      <c r="AG39" s="238">
        <f t="shared" ref="AG39:AG60" si="76">((AE39*$AE$36)+(AF39*$AF$36))/$AG$36</f>
        <v>0.64469502262443434</v>
      </c>
      <c r="AH39" s="241">
        <f t="shared" si="65"/>
        <v>0.70399999999999996</v>
      </c>
      <c r="AI39" s="194">
        <f t="shared" si="66"/>
        <v>0.76300000000000001</v>
      </c>
      <c r="AJ39" s="35">
        <f t="shared" si="67"/>
        <v>0.82199999999999995</v>
      </c>
      <c r="AK39" s="195">
        <f t="shared" ref="AK39:AK60" si="77">((AH39*$AH$36)+(AI39*$AI$36)+(AJ39*$AJ$36))/$AK$36</f>
        <v>0.77049099612491456</v>
      </c>
      <c r="AL39" s="254">
        <f t="shared" si="68"/>
        <v>0.57499999999999996</v>
      </c>
      <c r="AM39" s="35">
        <f t="shared" si="69"/>
        <v>0.54800000000000004</v>
      </c>
      <c r="AN39" s="35">
        <f t="shared" si="70"/>
        <v>0.82199999999999995</v>
      </c>
      <c r="AO39" s="195">
        <f t="shared" ref="AO39:AO60" si="78">((AL39*$AL$36)+(AM39*$AM$36)+(AN39*$AN$36))/$AO$36</f>
        <v>0.69180475959203491</v>
      </c>
    </row>
    <row r="40" spans="1:41" x14ac:dyDescent="0.25">
      <c r="A40" s="192" t="s">
        <v>426</v>
      </c>
      <c r="B40" s="35">
        <v>7.1999999999999995E-2</v>
      </c>
      <c r="C40" s="35">
        <v>0.1</v>
      </c>
      <c r="D40" s="35">
        <v>0.11799999999999999</v>
      </c>
      <c r="E40" s="35">
        <v>0.13400000000000001</v>
      </c>
      <c r="F40" s="35">
        <v>8.4000000000000005E-2</v>
      </c>
      <c r="G40" s="35">
        <v>6.3E-2</v>
      </c>
      <c r="H40" s="35">
        <v>4.2999999999999997E-2</v>
      </c>
      <c r="I40" s="35">
        <v>7.0999999999999994E-2</v>
      </c>
      <c r="J40" s="35">
        <v>5.0999999999999997E-2</v>
      </c>
      <c r="K40" s="35">
        <v>0.112</v>
      </c>
      <c r="L40" s="198">
        <f t="shared" si="71"/>
        <v>8.2770400740642777E-2</v>
      </c>
      <c r="M40" s="245">
        <f t="shared" si="49"/>
        <v>7.1999999999999995E-2</v>
      </c>
      <c r="N40" s="35">
        <f t="shared" si="50"/>
        <v>0.13400000000000001</v>
      </c>
      <c r="O40" s="35">
        <f t="shared" si="51"/>
        <v>8.4000000000000005E-2</v>
      </c>
      <c r="P40" s="35">
        <f t="shared" si="52"/>
        <v>6.3E-2</v>
      </c>
      <c r="Q40" s="35">
        <f t="shared" si="53"/>
        <v>4.2999999999999997E-2</v>
      </c>
      <c r="R40" s="238">
        <f t="shared" si="72"/>
        <v>7.1128827308948636E-2</v>
      </c>
      <c r="S40" s="245">
        <f t="shared" si="54"/>
        <v>7.1999999999999995E-2</v>
      </c>
      <c r="T40" s="35">
        <f t="shared" si="55"/>
        <v>0.13400000000000001</v>
      </c>
      <c r="U40" s="35">
        <f t="shared" si="56"/>
        <v>4.2999999999999997E-2</v>
      </c>
      <c r="V40" s="195">
        <f t="shared" si="73"/>
        <v>7.4224902552033553E-2</v>
      </c>
      <c r="W40" s="254">
        <f t="shared" si="57"/>
        <v>7.1999999999999995E-2</v>
      </c>
      <c r="X40" s="35">
        <f t="shared" si="58"/>
        <v>0.11799999999999999</v>
      </c>
      <c r="Y40" s="35">
        <f t="shared" si="59"/>
        <v>7.0999999999999994E-2</v>
      </c>
      <c r="Z40" s="195">
        <f t="shared" si="74"/>
        <v>8.6976907060382344E-2</v>
      </c>
      <c r="AA40" s="254">
        <f t="shared" si="60"/>
        <v>0.1</v>
      </c>
      <c r="AB40" s="35">
        <f t="shared" si="61"/>
        <v>0.11799999999999999</v>
      </c>
      <c r="AC40" s="35">
        <f t="shared" si="62"/>
        <v>7.0999999999999994E-2</v>
      </c>
      <c r="AD40" s="195">
        <f t="shared" si="75"/>
        <v>9.6003744580212852E-2</v>
      </c>
      <c r="AE40" s="245">
        <f t="shared" si="63"/>
        <v>0.1</v>
      </c>
      <c r="AF40" s="35">
        <f t="shared" si="64"/>
        <v>7.0999999999999994E-2</v>
      </c>
      <c r="AG40" s="238">
        <f t="shared" si="76"/>
        <v>8.4332126696832571E-2</v>
      </c>
      <c r="AH40" s="241">
        <f t="shared" si="65"/>
        <v>7.0999999999999994E-2</v>
      </c>
      <c r="AI40" s="194">
        <f t="shared" si="66"/>
        <v>5.0999999999999997E-2</v>
      </c>
      <c r="AJ40" s="35">
        <f t="shared" si="67"/>
        <v>0.112</v>
      </c>
      <c r="AK40" s="195">
        <f t="shared" si="77"/>
        <v>8.0790517437884665E-2</v>
      </c>
      <c r="AL40" s="254">
        <f t="shared" si="68"/>
        <v>0.1</v>
      </c>
      <c r="AM40" s="35">
        <f t="shared" si="69"/>
        <v>0.11799999999999999</v>
      </c>
      <c r="AN40" s="35">
        <f t="shared" si="70"/>
        <v>0.112</v>
      </c>
      <c r="AO40" s="195">
        <f t="shared" si="78"/>
        <v>0.112273919378339</v>
      </c>
    </row>
    <row r="41" spans="1:41" x14ac:dyDescent="0.25">
      <c r="A41" s="192" t="s">
        <v>35</v>
      </c>
      <c r="B41" s="35">
        <v>7.1999999999999995E-2</v>
      </c>
      <c r="C41" s="35">
        <v>9.2999999999999999E-2</v>
      </c>
      <c r="D41" s="35">
        <v>9.2999999999999999E-2</v>
      </c>
      <c r="E41" s="35">
        <v>0.112</v>
      </c>
      <c r="F41" s="35">
        <v>8.4000000000000005E-2</v>
      </c>
      <c r="G41" s="35">
        <v>5.5E-2</v>
      </c>
      <c r="H41" s="35">
        <v>4.1000000000000002E-2</v>
      </c>
      <c r="I41" s="35">
        <v>5.6000000000000001E-2</v>
      </c>
      <c r="J41" s="35">
        <v>3.5999999999999997E-2</v>
      </c>
      <c r="K41" s="35">
        <v>0.111</v>
      </c>
      <c r="L41" s="198">
        <f t="shared" si="71"/>
        <v>7.3228342811797395E-2</v>
      </c>
      <c r="M41" s="245">
        <f t="shared" si="49"/>
        <v>7.1999999999999995E-2</v>
      </c>
      <c r="N41" s="35">
        <f t="shared" si="50"/>
        <v>0.112</v>
      </c>
      <c r="O41" s="35">
        <f t="shared" si="51"/>
        <v>8.4000000000000005E-2</v>
      </c>
      <c r="P41" s="35">
        <f t="shared" si="52"/>
        <v>5.5E-2</v>
      </c>
      <c r="Q41" s="35">
        <f t="shared" si="53"/>
        <v>4.1000000000000002E-2</v>
      </c>
      <c r="R41" s="238">
        <f t="shared" si="72"/>
        <v>6.4759251947306085E-2</v>
      </c>
      <c r="S41" s="245">
        <f t="shared" si="54"/>
        <v>7.1999999999999995E-2</v>
      </c>
      <c r="T41" s="35">
        <f t="shared" si="55"/>
        <v>0.112</v>
      </c>
      <c r="U41" s="35">
        <f t="shared" si="56"/>
        <v>4.1000000000000002E-2</v>
      </c>
      <c r="V41" s="195">
        <f t="shared" si="73"/>
        <v>6.7496800764874604E-2</v>
      </c>
      <c r="W41" s="254">
        <f t="shared" si="57"/>
        <v>7.1999999999999995E-2</v>
      </c>
      <c r="X41" s="35">
        <f t="shared" si="58"/>
        <v>9.2999999999999999E-2</v>
      </c>
      <c r="Y41" s="35">
        <f t="shared" si="59"/>
        <v>5.6000000000000001E-2</v>
      </c>
      <c r="Z41" s="195">
        <f t="shared" si="74"/>
        <v>7.3567859170925606E-2</v>
      </c>
      <c r="AA41" s="254">
        <f t="shared" si="60"/>
        <v>9.2999999999999999E-2</v>
      </c>
      <c r="AB41" s="35">
        <f t="shared" si="61"/>
        <v>9.2999999999999999E-2</v>
      </c>
      <c r="AC41" s="35">
        <f t="shared" si="62"/>
        <v>5.6000000000000001E-2</v>
      </c>
      <c r="AD41" s="195">
        <f t="shared" si="75"/>
        <v>7.9939889633425298E-2</v>
      </c>
      <c r="AE41" s="245">
        <f t="shared" si="63"/>
        <v>9.2999999999999999E-2</v>
      </c>
      <c r="AF41" s="35">
        <f t="shared" si="64"/>
        <v>5.6000000000000001E-2</v>
      </c>
      <c r="AG41" s="238">
        <f t="shared" si="76"/>
        <v>7.3009954751131229E-2</v>
      </c>
      <c r="AH41" s="241">
        <f t="shared" si="65"/>
        <v>5.6000000000000001E-2</v>
      </c>
      <c r="AI41" s="194">
        <f t="shared" si="66"/>
        <v>3.5999999999999997E-2</v>
      </c>
      <c r="AJ41" s="35">
        <f t="shared" si="67"/>
        <v>0.111</v>
      </c>
      <c r="AK41" s="195">
        <f t="shared" si="77"/>
        <v>7.1378390699794847E-2</v>
      </c>
      <c r="AL41" s="254">
        <f t="shared" si="68"/>
        <v>9.2999999999999999E-2</v>
      </c>
      <c r="AM41" s="35">
        <f t="shared" si="69"/>
        <v>9.2999999999999999E-2</v>
      </c>
      <c r="AN41" s="35">
        <f t="shared" si="70"/>
        <v>0.111</v>
      </c>
      <c r="AO41" s="195">
        <f t="shared" si="78"/>
        <v>0.10218445847498785</v>
      </c>
    </row>
    <row r="42" spans="1:41" x14ac:dyDescent="0.25">
      <c r="A42" s="192" t="s">
        <v>36</v>
      </c>
      <c r="B42" s="35">
        <v>0</v>
      </c>
      <c r="C42" s="35">
        <v>0</v>
      </c>
      <c r="D42" s="35">
        <v>2.5000000000000001E-2</v>
      </c>
      <c r="E42" s="35">
        <v>2.1999999999999999E-2</v>
      </c>
      <c r="F42" s="35">
        <v>0</v>
      </c>
      <c r="G42" s="35">
        <v>5.0000000000000001E-3</v>
      </c>
      <c r="H42" s="35">
        <v>0</v>
      </c>
      <c r="I42" s="35">
        <v>1.4999999999999999E-2</v>
      </c>
      <c r="J42" s="35">
        <v>0</v>
      </c>
      <c r="K42" s="35">
        <v>0</v>
      </c>
      <c r="L42" s="198">
        <f t="shared" si="71"/>
        <v>7.5958206586430373E-3</v>
      </c>
      <c r="M42" s="245">
        <f t="shared" si="49"/>
        <v>0</v>
      </c>
      <c r="N42" s="35">
        <f t="shared" si="50"/>
        <v>2.1999999999999999E-2</v>
      </c>
      <c r="O42" s="35">
        <f t="shared" si="51"/>
        <v>0</v>
      </c>
      <c r="P42" s="35">
        <f t="shared" si="52"/>
        <v>5.0000000000000001E-3</v>
      </c>
      <c r="Q42" s="35">
        <f t="shared" si="53"/>
        <v>0</v>
      </c>
      <c r="R42" s="238">
        <f t="shared" si="72"/>
        <v>4.7407301051724761E-3</v>
      </c>
      <c r="S42" s="245">
        <f t="shared" si="54"/>
        <v>0</v>
      </c>
      <c r="T42" s="35">
        <f t="shared" si="55"/>
        <v>2.1999999999999999E-2</v>
      </c>
      <c r="U42" s="35">
        <f t="shared" si="56"/>
        <v>0</v>
      </c>
      <c r="V42" s="195">
        <f t="shared" si="73"/>
        <v>5.7617121423843495E-3</v>
      </c>
      <c r="W42" s="254">
        <f t="shared" si="57"/>
        <v>0</v>
      </c>
      <c r="X42" s="35">
        <f t="shared" si="58"/>
        <v>2.5000000000000001E-2</v>
      </c>
      <c r="Y42" s="35">
        <f t="shared" si="59"/>
        <v>1.4999999999999999E-2</v>
      </c>
      <c r="Z42" s="195">
        <f t="shared" si="74"/>
        <v>1.3409047889456746E-2</v>
      </c>
      <c r="AA42" s="254">
        <f t="shared" si="60"/>
        <v>0</v>
      </c>
      <c r="AB42" s="35">
        <f t="shared" si="61"/>
        <v>2.5000000000000001E-2</v>
      </c>
      <c r="AC42" s="35">
        <f t="shared" si="62"/>
        <v>1.4999999999999999E-2</v>
      </c>
      <c r="AD42" s="195">
        <f t="shared" si="75"/>
        <v>1.3961371698856917E-2</v>
      </c>
      <c r="AE42" s="245">
        <f t="shared" si="63"/>
        <v>0</v>
      </c>
      <c r="AF42" s="35">
        <f t="shared" si="64"/>
        <v>1.4999999999999999E-2</v>
      </c>
      <c r="AG42" s="238">
        <f t="shared" si="76"/>
        <v>8.1040723981900455E-3</v>
      </c>
      <c r="AH42" s="241">
        <f t="shared" si="65"/>
        <v>1.4999999999999999E-2</v>
      </c>
      <c r="AI42" s="194">
        <f t="shared" si="66"/>
        <v>0</v>
      </c>
      <c r="AJ42" s="35">
        <f t="shared" si="67"/>
        <v>0</v>
      </c>
      <c r="AK42" s="195">
        <f t="shared" si="77"/>
        <v>4.0825165260998404E-3</v>
      </c>
      <c r="AL42" s="254">
        <f t="shared" si="68"/>
        <v>0</v>
      </c>
      <c r="AM42" s="35">
        <f t="shared" si="69"/>
        <v>2.5000000000000001E-2</v>
      </c>
      <c r="AN42" s="35">
        <f t="shared" si="70"/>
        <v>0</v>
      </c>
      <c r="AO42" s="195">
        <f t="shared" si="78"/>
        <v>8.5429820301117041E-3</v>
      </c>
    </row>
    <row r="43" spans="1:41" x14ac:dyDescent="0.25">
      <c r="A43" s="192" t="s">
        <v>427</v>
      </c>
      <c r="B43" s="35">
        <v>0</v>
      </c>
      <c r="C43" s="35">
        <v>8.0000000000000002E-3</v>
      </c>
      <c r="D43" s="35">
        <v>0</v>
      </c>
      <c r="E43" s="35">
        <v>0</v>
      </c>
      <c r="F43" s="35">
        <v>0</v>
      </c>
      <c r="G43" s="35">
        <v>3.0000000000000001E-3</v>
      </c>
      <c r="H43" s="35">
        <v>3.0000000000000001E-3</v>
      </c>
      <c r="I43" s="35">
        <v>0</v>
      </c>
      <c r="J43" s="35">
        <v>1.4999999999999999E-2</v>
      </c>
      <c r="K43" s="35">
        <v>1E-3</v>
      </c>
      <c r="L43" s="198">
        <f t="shared" si="71"/>
        <v>2.1582462637217302E-3</v>
      </c>
      <c r="M43" s="245">
        <f t="shared" si="49"/>
        <v>0</v>
      </c>
      <c r="N43" s="35">
        <f t="shared" si="50"/>
        <v>0</v>
      </c>
      <c r="O43" s="35">
        <f t="shared" si="51"/>
        <v>0</v>
      </c>
      <c r="P43" s="35">
        <f t="shared" si="52"/>
        <v>3.0000000000000001E-3</v>
      </c>
      <c r="Q43" s="35">
        <f t="shared" si="53"/>
        <v>3.0000000000000001E-3</v>
      </c>
      <c r="R43" s="238">
        <f t="shared" si="72"/>
        <v>1.864675688287448E-3</v>
      </c>
      <c r="S43" s="245">
        <f t="shared" si="54"/>
        <v>0</v>
      </c>
      <c r="T43" s="35">
        <f t="shared" si="55"/>
        <v>0</v>
      </c>
      <c r="U43" s="35">
        <f t="shared" si="56"/>
        <v>3.0000000000000001E-3</v>
      </c>
      <c r="V43" s="195">
        <f t="shared" si="73"/>
        <v>1.4495844671618741E-3</v>
      </c>
      <c r="W43" s="254">
        <f t="shared" si="57"/>
        <v>0</v>
      </c>
      <c r="X43" s="35">
        <f t="shared" si="58"/>
        <v>0</v>
      </c>
      <c r="Y43" s="35">
        <f t="shared" si="59"/>
        <v>0</v>
      </c>
      <c r="Z43" s="195">
        <f t="shared" si="74"/>
        <v>0</v>
      </c>
      <c r="AA43" s="254">
        <f t="shared" si="60"/>
        <v>8.0000000000000002E-3</v>
      </c>
      <c r="AB43" s="35">
        <f t="shared" si="61"/>
        <v>0</v>
      </c>
      <c r="AC43" s="35">
        <f t="shared" si="62"/>
        <v>0</v>
      </c>
      <c r="AD43" s="195">
        <f t="shared" si="75"/>
        <v>2.4028379976350021E-3</v>
      </c>
      <c r="AE43" s="245">
        <f t="shared" si="63"/>
        <v>8.0000000000000002E-3</v>
      </c>
      <c r="AF43" s="35">
        <f t="shared" si="64"/>
        <v>0</v>
      </c>
      <c r="AG43" s="238">
        <f t="shared" si="76"/>
        <v>3.6778280542986426E-3</v>
      </c>
      <c r="AH43" s="241">
        <f t="shared" si="65"/>
        <v>0</v>
      </c>
      <c r="AI43" s="194">
        <f t="shared" si="66"/>
        <v>1.4999999999999999E-2</v>
      </c>
      <c r="AJ43" s="35">
        <f t="shared" si="67"/>
        <v>1E-3</v>
      </c>
      <c r="AK43" s="195">
        <f t="shared" si="77"/>
        <v>5.3296102119899701E-3</v>
      </c>
      <c r="AL43" s="254">
        <f t="shared" si="68"/>
        <v>8.0000000000000002E-3</v>
      </c>
      <c r="AM43" s="35">
        <f t="shared" si="69"/>
        <v>0</v>
      </c>
      <c r="AN43" s="35">
        <f t="shared" si="70"/>
        <v>1E-3</v>
      </c>
      <c r="AO43" s="195">
        <f t="shared" si="78"/>
        <v>1.6945118989800875E-3</v>
      </c>
    </row>
    <row r="44" spans="1:41" x14ac:dyDescent="0.25">
      <c r="A44" s="192" t="s">
        <v>428</v>
      </c>
      <c r="B44" s="200">
        <v>1.06</v>
      </c>
      <c r="C44" s="200">
        <v>1.08</v>
      </c>
      <c r="D44" s="200">
        <v>1.1000000000000001</v>
      </c>
      <c r="E44" s="200">
        <v>1.1000000000000001</v>
      </c>
      <c r="F44" s="200">
        <v>1.05</v>
      </c>
      <c r="G44" s="200">
        <v>1.04</v>
      </c>
      <c r="H44" s="200">
        <v>1.04</v>
      </c>
      <c r="I44" s="200">
        <v>1.05</v>
      </c>
      <c r="J44" s="200">
        <v>1.04</v>
      </c>
      <c r="K44" s="200">
        <v>1.07</v>
      </c>
      <c r="L44" s="201">
        <f t="shared" si="71"/>
        <v>1.0621088480359739</v>
      </c>
      <c r="M44" s="246">
        <f t="shared" si="49"/>
        <v>1.06</v>
      </c>
      <c r="N44" s="5">
        <f t="shared" si="50"/>
        <v>1.1000000000000001</v>
      </c>
      <c r="O44" s="200">
        <f t="shared" si="51"/>
        <v>1.05</v>
      </c>
      <c r="P44" s="200">
        <f t="shared" si="52"/>
        <v>1.04</v>
      </c>
      <c r="Q44" s="5">
        <f t="shared" si="53"/>
        <v>1.04</v>
      </c>
      <c r="R44" s="250">
        <f t="shared" si="72"/>
        <v>1.0514196489464807</v>
      </c>
      <c r="S44" s="246">
        <f t="shared" si="54"/>
        <v>1.06</v>
      </c>
      <c r="T44" s="5">
        <f t="shared" si="55"/>
        <v>1.1000000000000001</v>
      </c>
      <c r="U44" s="5">
        <f t="shared" si="56"/>
        <v>1.04</v>
      </c>
      <c r="V44" s="202">
        <f t="shared" si="73"/>
        <v>1.0608119438111347</v>
      </c>
      <c r="W44" s="255">
        <f t="shared" si="57"/>
        <v>1.06</v>
      </c>
      <c r="X44" s="5">
        <f t="shared" si="58"/>
        <v>1.1000000000000001</v>
      </c>
      <c r="Y44" s="5">
        <f t="shared" si="59"/>
        <v>1.05</v>
      </c>
      <c r="Z44" s="202">
        <f t="shared" si="74"/>
        <v>1.0699280711716828</v>
      </c>
      <c r="AA44" s="255">
        <f t="shared" si="60"/>
        <v>1.08</v>
      </c>
      <c r="AB44" s="5">
        <f t="shared" si="61"/>
        <v>1.1000000000000001</v>
      </c>
      <c r="AC44" s="89">
        <f t="shared" si="62"/>
        <v>1.05</v>
      </c>
      <c r="AD44" s="202">
        <f t="shared" si="75"/>
        <v>1.076344107213244</v>
      </c>
      <c r="AE44" s="246">
        <f t="shared" si="63"/>
        <v>1.08</v>
      </c>
      <c r="AF44" s="89">
        <f t="shared" si="64"/>
        <v>1.05</v>
      </c>
      <c r="AG44" s="250">
        <f t="shared" si="76"/>
        <v>1.0637918552036199</v>
      </c>
      <c r="AH44" s="260">
        <f t="shared" si="65"/>
        <v>1.05</v>
      </c>
      <c r="AI44" s="207">
        <f t="shared" si="66"/>
        <v>1.04</v>
      </c>
      <c r="AJ44" s="89">
        <f t="shared" si="67"/>
        <v>1.07</v>
      </c>
      <c r="AK44" s="202">
        <f t="shared" si="77"/>
        <v>1.0546956918167314</v>
      </c>
      <c r="AL44" s="255">
        <f t="shared" si="68"/>
        <v>1.08</v>
      </c>
      <c r="AM44" s="5">
        <f t="shared" si="69"/>
        <v>1.1000000000000001</v>
      </c>
      <c r="AN44" s="89">
        <f t="shared" si="70"/>
        <v>1.07</v>
      </c>
      <c r="AO44" s="202">
        <f t="shared" si="78"/>
        <v>1.0817319086935406</v>
      </c>
    </row>
    <row r="45" spans="1:41" x14ac:dyDescent="0.25">
      <c r="A45" s="192" t="s">
        <v>429</v>
      </c>
      <c r="B45" s="35">
        <v>3.3000000000000002E-2</v>
      </c>
      <c r="C45" s="35">
        <v>6.0999999999999999E-2</v>
      </c>
      <c r="D45" s="35">
        <v>7.0000000000000007E-2</v>
      </c>
      <c r="E45" s="35">
        <v>6.3E-2</v>
      </c>
      <c r="F45" s="35">
        <v>5.6000000000000001E-2</v>
      </c>
      <c r="G45" s="35">
        <v>0</v>
      </c>
      <c r="H45" s="35">
        <v>1.9E-2</v>
      </c>
      <c r="I45" s="35">
        <v>2.7E-2</v>
      </c>
      <c r="J45" s="35">
        <v>5.3999999999999999E-2</v>
      </c>
      <c r="K45" s="35">
        <v>2.5000000000000001E-2</v>
      </c>
      <c r="L45" s="198">
        <f t="shared" si="71"/>
        <v>3.5622735087951329E-2</v>
      </c>
      <c r="M45" s="245">
        <f t="shared" si="49"/>
        <v>3.3000000000000002E-2</v>
      </c>
      <c r="N45" s="35">
        <f t="shared" si="50"/>
        <v>6.3E-2</v>
      </c>
      <c r="O45" s="35">
        <f t="shared" si="51"/>
        <v>5.6000000000000001E-2</v>
      </c>
      <c r="P45" s="35">
        <f t="shared" si="52"/>
        <v>0</v>
      </c>
      <c r="Q45" s="35">
        <f t="shared" si="53"/>
        <v>1.9E-2</v>
      </c>
      <c r="R45" s="238">
        <f t="shared" si="72"/>
        <v>2.3706773394594208E-2</v>
      </c>
      <c r="S45" s="245">
        <f t="shared" si="54"/>
        <v>3.3000000000000002E-2</v>
      </c>
      <c r="T45" s="35">
        <f t="shared" si="55"/>
        <v>6.3E-2</v>
      </c>
      <c r="U45" s="35">
        <f t="shared" si="56"/>
        <v>1.9E-2</v>
      </c>
      <c r="V45" s="195">
        <f t="shared" si="73"/>
        <v>3.4092152680738397E-2</v>
      </c>
      <c r="W45" s="254">
        <f t="shared" si="57"/>
        <v>3.3000000000000002E-2</v>
      </c>
      <c r="X45" s="35">
        <f t="shared" si="58"/>
        <v>7.0000000000000007E-2</v>
      </c>
      <c r="Y45" s="35">
        <f t="shared" si="59"/>
        <v>2.7E-2</v>
      </c>
      <c r="Z45" s="195">
        <f t="shared" si="74"/>
        <v>4.3285254590194958E-2</v>
      </c>
      <c r="AA45" s="254">
        <f t="shared" si="60"/>
        <v>6.0999999999999999E-2</v>
      </c>
      <c r="AB45" s="35">
        <f t="shared" si="61"/>
        <v>7.0000000000000007E-2</v>
      </c>
      <c r="AC45" s="35">
        <f t="shared" si="62"/>
        <v>2.7E-2</v>
      </c>
      <c r="AD45" s="195">
        <f t="shared" si="75"/>
        <v>5.2118841150965704E-2</v>
      </c>
      <c r="AE45" s="245">
        <f t="shared" si="63"/>
        <v>6.0999999999999999E-2</v>
      </c>
      <c r="AF45" s="35">
        <f t="shared" si="64"/>
        <v>2.7E-2</v>
      </c>
      <c r="AG45" s="238">
        <f t="shared" si="76"/>
        <v>4.2630769230769229E-2</v>
      </c>
      <c r="AH45" s="241">
        <f t="shared" si="65"/>
        <v>2.7E-2</v>
      </c>
      <c r="AI45" s="194">
        <f t="shared" si="66"/>
        <v>5.3999999999999999E-2</v>
      </c>
      <c r="AJ45" s="35">
        <f t="shared" si="67"/>
        <v>2.5000000000000001E-2</v>
      </c>
      <c r="AK45" s="195">
        <f t="shared" si="77"/>
        <v>3.5076589924777753E-2</v>
      </c>
      <c r="AL45" s="254">
        <f t="shared" si="68"/>
        <v>6.0999999999999999E-2</v>
      </c>
      <c r="AM45" s="35">
        <f t="shared" si="69"/>
        <v>7.0000000000000007E-2</v>
      </c>
      <c r="AN45" s="35">
        <f t="shared" si="70"/>
        <v>2.5000000000000001E-2</v>
      </c>
      <c r="AO45" s="195">
        <f t="shared" si="78"/>
        <v>4.5706556580864505E-2</v>
      </c>
    </row>
    <row r="46" spans="1:41" x14ac:dyDescent="0.25">
      <c r="A46" s="192" t="s">
        <v>41</v>
      </c>
      <c r="B46" s="35">
        <v>0.24199999999999999</v>
      </c>
      <c r="C46" s="35">
        <v>0.13300000000000001</v>
      </c>
      <c r="D46" s="35">
        <v>0.14699999999999999</v>
      </c>
      <c r="E46" s="35">
        <v>6.9000000000000006E-2</v>
      </c>
      <c r="F46" s="35">
        <v>3.9E-2</v>
      </c>
      <c r="G46" s="35">
        <v>8.3000000000000004E-2</v>
      </c>
      <c r="H46" s="35">
        <v>0.36799999999999999</v>
      </c>
      <c r="I46" s="35">
        <v>0.13700000000000001</v>
      </c>
      <c r="J46" s="35">
        <v>8.2000000000000003E-2</v>
      </c>
      <c r="K46" s="35">
        <v>1.2999999999999999E-2</v>
      </c>
      <c r="L46" s="198">
        <f t="shared" si="71"/>
        <v>0.1508701229996032</v>
      </c>
      <c r="M46" s="245">
        <f t="shared" si="49"/>
        <v>0.24199999999999999</v>
      </c>
      <c r="N46" s="35">
        <f t="shared" si="50"/>
        <v>6.9000000000000006E-2</v>
      </c>
      <c r="O46" s="35">
        <f t="shared" si="51"/>
        <v>3.9E-2</v>
      </c>
      <c r="P46" s="35">
        <f t="shared" si="52"/>
        <v>8.3000000000000004E-2</v>
      </c>
      <c r="Q46" s="35">
        <f t="shared" si="53"/>
        <v>0.36799999999999999</v>
      </c>
      <c r="R46" s="238">
        <f t="shared" si="72"/>
        <v>0.16265059765246423</v>
      </c>
      <c r="S46" s="245">
        <f t="shared" si="54"/>
        <v>0.24199999999999999</v>
      </c>
      <c r="T46" s="35">
        <f t="shared" si="55"/>
        <v>6.9000000000000006E-2</v>
      </c>
      <c r="U46" s="35">
        <f t="shared" si="56"/>
        <v>0.36799999999999999</v>
      </c>
      <c r="V46" s="195">
        <f t="shared" si="73"/>
        <v>0.25757453850113998</v>
      </c>
      <c r="W46" s="254">
        <f t="shared" si="57"/>
        <v>0.24199999999999999</v>
      </c>
      <c r="X46" s="35">
        <f t="shared" si="58"/>
        <v>0.14699999999999999</v>
      </c>
      <c r="Y46" s="35">
        <f t="shared" si="59"/>
        <v>0.13700000000000001</v>
      </c>
      <c r="Z46" s="195">
        <f t="shared" si="74"/>
        <v>0.17477304561802007</v>
      </c>
      <c r="AA46" s="254">
        <f t="shared" si="60"/>
        <v>0.13300000000000001</v>
      </c>
      <c r="AB46" s="35">
        <f t="shared" si="61"/>
        <v>0.14699999999999999</v>
      </c>
      <c r="AC46" s="35">
        <f t="shared" si="62"/>
        <v>0.13700000000000001</v>
      </c>
      <c r="AD46" s="195">
        <f t="shared" si="75"/>
        <v>0.13926527394560503</v>
      </c>
      <c r="AE46" s="245">
        <f t="shared" si="63"/>
        <v>0.13300000000000001</v>
      </c>
      <c r="AF46" s="35">
        <f t="shared" si="64"/>
        <v>0.13700000000000001</v>
      </c>
      <c r="AG46" s="238">
        <f t="shared" si="76"/>
        <v>0.13516108597285068</v>
      </c>
      <c r="AH46" s="241">
        <f t="shared" si="65"/>
        <v>0.13700000000000001</v>
      </c>
      <c r="AI46" s="194">
        <f t="shared" si="66"/>
        <v>8.2000000000000003E-2</v>
      </c>
      <c r="AJ46" s="35">
        <f t="shared" si="67"/>
        <v>1.2999999999999999E-2</v>
      </c>
      <c r="AK46" s="195">
        <f t="shared" si="77"/>
        <v>6.9428994757237281E-2</v>
      </c>
      <c r="AL46" s="254">
        <f t="shared" si="68"/>
        <v>0.13300000000000001</v>
      </c>
      <c r="AM46" s="35">
        <f t="shared" si="69"/>
        <v>0.14699999999999999</v>
      </c>
      <c r="AN46" s="35">
        <f t="shared" si="70"/>
        <v>1.2999999999999999E-2</v>
      </c>
      <c r="AO46" s="195">
        <f t="shared" si="78"/>
        <v>7.6554346770276824E-2</v>
      </c>
    </row>
    <row r="47" spans="1:41" x14ac:dyDescent="0.25">
      <c r="A47" s="192" t="s">
        <v>40</v>
      </c>
      <c r="B47" s="35">
        <v>4.2000000000000003E-2</v>
      </c>
      <c r="C47" s="35">
        <v>7.0999999999999994E-2</v>
      </c>
      <c r="D47" s="35">
        <v>5.5E-2</v>
      </c>
      <c r="E47" s="35">
        <v>3.5000000000000003E-2</v>
      </c>
      <c r="F47" s="35">
        <v>0</v>
      </c>
      <c r="G47" s="35">
        <v>2.4E-2</v>
      </c>
      <c r="H47" s="35">
        <v>4.4999999999999998E-2</v>
      </c>
      <c r="I47" s="35">
        <v>4.3999999999999997E-2</v>
      </c>
      <c r="J47" s="35">
        <v>0</v>
      </c>
      <c r="K47" s="35">
        <v>6.0000000000000001E-3</v>
      </c>
      <c r="L47" s="198">
        <f t="shared" si="71"/>
        <v>3.5730987964554949E-2</v>
      </c>
      <c r="M47" s="245">
        <f t="shared" si="49"/>
        <v>4.2000000000000003E-2</v>
      </c>
      <c r="N47" s="35">
        <f t="shared" si="50"/>
        <v>3.5000000000000003E-2</v>
      </c>
      <c r="O47" s="35">
        <f t="shared" si="51"/>
        <v>0</v>
      </c>
      <c r="P47" s="35">
        <f t="shared" si="52"/>
        <v>2.4E-2</v>
      </c>
      <c r="Q47" s="35">
        <f t="shared" si="53"/>
        <v>4.4999999999999998E-2</v>
      </c>
      <c r="R47" s="238">
        <f t="shared" si="72"/>
        <v>2.9568936429879036E-2</v>
      </c>
      <c r="S47" s="245">
        <f t="shared" si="54"/>
        <v>4.2000000000000003E-2</v>
      </c>
      <c r="T47" s="35">
        <f t="shared" si="55"/>
        <v>3.5000000000000003E-2</v>
      </c>
      <c r="U47" s="35">
        <f t="shared" si="56"/>
        <v>4.4999999999999998E-2</v>
      </c>
      <c r="V47" s="195">
        <f t="shared" si="73"/>
        <v>4.1616312421857767E-2</v>
      </c>
      <c r="W47" s="254">
        <f t="shared" si="57"/>
        <v>4.2000000000000003E-2</v>
      </c>
      <c r="X47" s="35">
        <f t="shared" si="58"/>
        <v>5.5E-2</v>
      </c>
      <c r="Y47" s="35">
        <f t="shared" si="59"/>
        <v>4.3999999999999997E-2</v>
      </c>
      <c r="Z47" s="195">
        <f t="shared" si="74"/>
        <v>4.7006435737270487E-2</v>
      </c>
      <c r="AA47" s="254">
        <f t="shared" si="60"/>
        <v>7.0999999999999994E-2</v>
      </c>
      <c r="AB47" s="35">
        <f t="shared" si="61"/>
        <v>5.5E-2</v>
      </c>
      <c r="AC47" s="35">
        <f t="shared" si="62"/>
        <v>4.3999999999999997E-2</v>
      </c>
      <c r="AD47" s="195">
        <f t="shared" si="75"/>
        <v>5.5922940480882928E-2</v>
      </c>
      <c r="AE47" s="245">
        <f t="shared" si="63"/>
        <v>7.0999999999999994E-2</v>
      </c>
      <c r="AF47" s="35">
        <f t="shared" si="64"/>
        <v>4.3999999999999997E-2</v>
      </c>
      <c r="AG47" s="238">
        <f t="shared" si="76"/>
        <v>5.6412669683257914E-2</v>
      </c>
      <c r="AH47" s="241">
        <f t="shared" si="65"/>
        <v>4.3999999999999997E-2</v>
      </c>
      <c r="AI47" s="194">
        <f t="shared" si="66"/>
        <v>0</v>
      </c>
      <c r="AJ47" s="35">
        <f t="shared" si="67"/>
        <v>6.0000000000000001E-3</v>
      </c>
      <c r="AK47" s="195">
        <f t="shared" si="77"/>
        <v>1.4370184636425802E-2</v>
      </c>
      <c r="AL47" s="254">
        <f t="shared" si="68"/>
        <v>7.0999999999999994E-2</v>
      </c>
      <c r="AM47" s="35">
        <f t="shared" si="69"/>
        <v>5.5E-2</v>
      </c>
      <c r="AN47" s="35">
        <f t="shared" si="70"/>
        <v>6.0000000000000001E-3</v>
      </c>
      <c r="AO47" s="195">
        <f t="shared" si="78"/>
        <v>3.236639145216124E-2</v>
      </c>
    </row>
    <row r="48" spans="1:41" x14ac:dyDescent="0.25">
      <c r="A48" s="192" t="s">
        <v>430</v>
      </c>
      <c r="B48" s="35">
        <v>0</v>
      </c>
      <c r="C48" s="35">
        <v>0.01</v>
      </c>
      <c r="D48" s="35">
        <v>3.2000000000000001E-2</v>
      </c>
      <c r="E48" s="35">
        <v>2.1000000000000001E-2</v>
      </c>
      <c r="F48" s="35">
        <v>0</v>
      </c>
      <c r="G48" s="35">
        <v>8.0000000000000002E-3</v>
      </c>
      <c r="H48" s="35">
        <v>0</v>
      </c>
      <c r="I48" s="35">
        <v>0</v>
      </c>
      <c r="J48" s="35">
        <v>1.0999999999999999E-2</v>
      </c>
      <c r="K48" s="35">
        <v>1.0999999999999999E-2</v>
      </c>
      <c r="L48" s="198">
        <f t="shared" si="71"/>
        <v>8.7881893929374431E-3</v>
      </c>
      <c r="M48" s="245">
        <f t="shared" si="49"/>
        <v>0</v>
      </c>
      <c r="N48" s="35">
        <f t="shared" si="50"/>
        <v>2.1000000000000001E-2</v>
      </c>
      <c r="O48" s="35">
        <f t="shared" si="51"/>
        <v>0</v>
      </c>
      <c r="P48" s="35">
        <f t="shared" si="52"/>
        <v>8.0000000000000002E-3</v>
      </c>
      <c r="Q48" s="35">
        <f t="shared" si="53"/>
        <v>0</v>
      </c>
      <c r="R48" s="238">
        <f t="shared" si="72"/>
        <v>5.7700922502602406E-3</v>
      </c>
      <c r="S48" s="245">
        <f t="shared" si="54"/>
        <v>0</v>
      </c>
      <c r="T48" s="35">
        <f t="shared" si="55"/>
        <v>2.1000000000000001E-2</v>
      </c>
      <c r="U48" s="35">
        <f t="shared" si="56"/>
        <v>0</v>
      </c>
      <c r="V48" s="195">
        <f t="shared" si="73"/>
        <v>5.4998161359123346E-3</v>
      </c>
      <c r="W48" s="254">
        <f t="shared" si="57"/>
        <v>0</v>
      </c>
      <c r="X48" s="35">
        <f t="shared" si="58"/>
        <v>3.2000000000000001E-2</v>
      </c>
      <c r="Y48" s="35">
        <f t="shared" si="59"/>
        <v>0</v>
      </c>
      <c r="Z48" s="195">
        <f t="shared" si="74"/>
        <v>1.065455233768692E-2</v>
      </c>
      <c r="AA48" s="254">
        <f t="shared" si="60"/>
        <v>0.01</v>
      </c>
      <c r="AB48" s="35">
        <f t="shared" si="61"/>
        <v>3.2000000000000001E-2</v>
      </c>
      <c r="AC48" s="35">
        <f t="shared" si="62"/>
        <v>0</v>
      </c>
      <c r="AD48" s="195">
        <f t="shared" si="75"/>
        <v>1.4096964919195902E-2</v>
      </c>
      <c r="AE48" s="245">
        <f t="shared" si="63"/>
        <v>0.01</v>
      </c>
      <c r="AF48" s="35">
        <f t="shared" si="64"/>
        <v>0</v>
      </c>
      <c r="AG48" s="238">
        <f t="shared" si="76"/>
        <v>4.5972850678733029E-3</v>
      </c>
      <c r="AH48" s="241">
        <f t="shared" si="65"/>
        <v>0</v>
      </c>
      <c r="AI48" s="194">
        <f t="shared" si="66"/>
        <v>1.0999999999999999E-2</v>
      </c>
      <c r="AJ48" s="35">
        <f t="shared" si="67"/>
        <v>1.0999999999999999E-2</v>
      </c>
      <c r="AK48" s="195">
        <f t="shared" si="77"/>
        <v>8.0061545475267823E-3</v>
      </c>
      <c r="AL48" s="254">
        <f t="shared" si="68"/>
        <v>0.01</v>
      </c>
      <c r="AM48" s="35">
        <f t="shared" si="69"/>
        <v>3.2000000000000001E-2</v>
      </c>
      <c r="AN48" s="35">
        <f t="shared" si="70"/>
        <v>1.0999999999999999E-2</v>
      </c>
      <c r="AO48" s="195">
        <f t="shared" si="78"/>
        <v>1.802807187955318E-2</v>
      </c>
    </row>
    <row r="49" spans="1:41" x14ac:dyDescent="0.25">
      <c r="A49" s="192" t="s">
        <v>42</v>
      </c>
      <c r="B49" s="35">
        <v>5.2999999999999999E-2</v>
      </c>
      <c r="C49" s="35">
        <v>0.05</v>
      </c>
      <c r="D49" s="35">
        <v>0.03</v>
      </c>
      <c r="E49" s="35">
        <v>1.9E-2</v>
      </c>
      <c r="F49" s="35">
        <v>2.7E-2</v>
      </c>
      <c r="G49" s="35">
        <v>3.5999999999999997E-2</v>
      </c>
      <c r="H49" s="35">
        <v>3.5999999999999997E-2</v>
      </c>
      <c r="I49" s="35">
        <v>1.7000000000000001E-2</v>
      </c>
      <c r="J49" s="35">
        <v>3.9E-2</v>
      </c>
      <c r="K49" s="35">
        <v>1.0999999999999999E-2</v>
      </c>
      <c r="L49" s="198">
        <f t="shared" si="71"/>
        <v>3.0755587885200369E-2</v>
      </c>
      <c r="M49" s="245">
        <f t="shared" si="49"/>
        <v>5.2999999999999999E-2</v>
      </c>
      <c r="N49" s="35">
        <f t="shared" si="50"/>
        <v>1.9E-2</v>
      </c>
      <c r="O49" s="35">
        <f t="shared" si="51"/>
        <v>2.7E-2</v>
      </c>
      <c r="P49" s="35">
        <f t="shared" si="52"/>
        <v>3.5999999999999997E-2</v>
      </c>
      <c r="Q49" s="35">
        <f t="shared" si="53"/>
        <v>3.5999999999999997E-2</v>
      </c>
      <c r="R49" s="238">
        <f t="shared" si="72"/>
        <v>3.4806166768369291E-2</v>
      </c>
      <c r="S49" s="245">
        <f t="shared" si="54"/>
        <v>5.2999999999999999E-2</v>
      </c>
      <c r="T49" s="35">
        <f t="shared" si="55"/>
        <v>1.9E-2</v>
      </c>
      <c r="U49" s="35">
        <f t="shared" si="56"/>
        <v>3.5999999999999997E-2</v>
      </c>
      <c r="V49" s="195">
        <f t="shared" si="73"/>
        <v>3.58812237993675E-2</v>
      </c>
      <c r="W49" s="254">
        <f t="shared" si="57"/>
        <v>5.2999999999999999E-2</v>
      </c>
      <c r="X49" s="35">
        <f t="shared" si="58"/>
        <v>0.03</v>
      </c>
      <c r="Y49" s="35">
        <f t="shared" si="59"/>
        <v>1.7000000000000001E-2</v>
      </c>
      <c r="Z49" s="195">
        <f t="shared" si="74"/>
        <v>3.31376112057543E-2</v>
      </c>
      <c r="AA49" s="254">
        <f t="shared" si="60"/>
        <v>0.05</v>
      </c>
      <c r="AB49" s="35">
        <f t="shared" si="61"/>
        <v>0.03</v>
      </c>
      <c r="AC49" s="35">
        <f t="shared" si="62"/>
        <v>1.7000000000000001E-2</v>
      </c>
      <c r="AD49" s="195">
        <f t="shared" si="75"/>
        <v>3.1418407567993689E-2</v>
      </c>
      <c r="AE49" s="245">
        <f t="shared" si="63"/>
        <v>0.05</v>
      </c>
      <c r="AF49" s="35">
        <f t="shared" si="64"/>
        <v>1.7000000000000001E-2</v>
      </c>
      <c r="AG49" s="238">
        <f t="shared" si="76"/>
        <v>3.2171040723981907E-2</v>
      </c>
      <c r="AH49" s="241">
        <f t="shared" si="65"/>
        <v>1.7000000000000001E-2</v>
      </c>
      <c r="AI49" s="194">
        <f t="shared" si="66"/>
        <v>3.9E-2</v>
      </c>
      <c r="AJ49" s="35">
        <f t="shared" si="67"/>
        <v>1.0999999999999999E-2</v>
      </c>
      <c r="AK49" s="195">
        <f t="shared" si="77"/>
        <v>2.183656257123319E-2</v>
      </c>
      <c r="AL49" s="254">
        <f t="shared" si="68"/>
        <v>0.05</v>
      </c>
      <c r="AM49" s="35">
        <f t="shared" si="69"/>
        <v>0.03</v>
      </c>
      <c r="AN49" s="35">
        <f t="shared" si="70"/>
        <v>1.0999999999999999E-2</v>
      </c>
      <c r="AO49" s="195">
        <f t="shared" si="78"/>
        <v>2.3265954346770278E-2</v>
      </c>
    </row>
    <row r="50" spans="1:41" x14ac:dyDescent="0.25">
      <c r="A50" s="192" t="s">
        <v>87</v>
      </c>
      <c r="B50" s="5"/>
      <c r="C50" s="5"/>
      <c r="D50" s="5"/>
      <c r="E50" s="5"/>
      <c r="F50" s="5"/>
      <c r="G50" s="5"/>
      <c r="H50" s="5"/>
      <c r="I50" s="5"/>
      <c r="J50" s="5"/>
      <c r="K50" s="5"/>
      <c r="L50" s="43"/>
      <c r="M50" s="241"/>
      <c r="N50" s="35"/>
      <c r="O50" s="35"/>
      <c r="P50" s="35"/>
      <c r="Q50" s="35"/>
      <c r="R50" s="238"/>
      <c r="S50" s="241"/>
      <c r="T50" s="35"/>
      <c r="U50" s="35"/>
      <c r="V50" s="195"/>
      <c r="W50" s="256"/>
      <c r="X50" s="35"/>
      <c r="Y50" s="35"/>
      <c r="Z50" s="195"/>
      <c r="AA50" s="256"/>
      <c r="AB50" s="35"/>
      <c r="AC50" s="35"/>
      <c r="AD50" s="195"/>
      <c r="AE50" s="241"/>
      <c r="AF50" s="35"/>
      <c r="AG50" s="238"/>
      <c r="AH50" s="241"/>
      <c r="AI50" s="35"/>
      <c r="AJ50" s="35"/>
      <c r="AK50" s="195"/>
      <c r="AL50" s="256"/>
      <c r="AM50" s="35"/>
      <c r="AN50" s="35"/>
      <c r="AO50" s="195"/>
    </row>
    <row r="51" spans="1:41" x14ac:dyDescent="0.25">
      <c r="A51" s="192" t="s">
        <v>431</v>
      </c>
      <c r="B51" s="35">
        <v>0.191</v>
      </c>
      <c r="C51" s="35">
        <v>0.23300000000000001</v>
      </c>
      <c r="D51" s="35">
        <v>0.26100000000000001</v>
      </c>
      <c r="E51" s="35">
        <v>0.114</v>
      </c>
      <c r="F51" s="35">
        <v>5.6000000000000001E-2</v>
      </c>
      <c r="G51" s="35">
        <v>0.19400000000000001</v>
      </c>
      <c r="H51" s="35">
        <v>0.28899999999999998</v>
      </c>
      <c r="I51" s="35">
        <v>0.27600000000000002</v>
      </c>
      <c r="J51" s="35">
        <v>0.255</v>
      </c>
      <c r="K51" s="35">
        <v>0.19400000000000001</v>
      </c>
      <c r="L51" s="198">
        <f t="shared" si="71"/>
        <v>0.22205825948948552</v>
      </c>
      <c r="M51" s="245">
        <f t="shared" ref="M51:M60" si="79">B51</f>
        <v>0.191</v>
      </c>
      <c r="N51" s="35">
        <f t="shared" ref="N51:N60" si="80">E51</f>
        <v>0.114</v>
      </c>
      <c r="O51" s="35">
        <f t="shared" ref="O51:O60" si="81">F51</f>
        <v>5.6000000000000001E-2</v>
      </c>
      <c r="P51" s="35">
        <f t="shared" ref="P51:P60" si="82">G51</f>
        <v>0.19400000000000001</v>
      </c>
      <c r="Q51" s="35">
        <f t="shared" ref="Q51:Q60" si="83">H51</f>
        <v>0.28899999999999998</v>
      </c>
      <c r="R51" s="238">
        <f t="shared" si="72"/>
        <v>0.18838831257403355</v>
      </c>
      <c r="S51" s="245">
        <f t="shared" ref="S51:S60" si="84">B51</f>
        <v>0.191</v>
      </c>
      <c r="T51" s="35">
        <f t="shared" ref="T51:T60" si="85">E51</f>
        <v>0.114</v>
      </c>
      <c r="U51" s="35">
        <f t="shared" ref="U51:U60" si="86">H51</f>
        <v>0.28899999999999998</v>
      </c>
      <c r="V51" s="195">
        <f t="shared" si="73"/>
        <v>0.21818710009560935</v>
      </c>
      <c r="W51" s="254">
        <f t="shared" ref="W51:W60" si="87">B51</f>
        <v>0.191</v>
      </c>
      <c r="X51" s="35">
        <f t="shared" ref="X51:X60" si="88">D51</f>
        <v>0.26100000000000001</v>
      </c>
      <c r="Y51" s="35">
        <f t="shared" ref="Y51:Y60" si="89">I51</f>
        <v>0.27600000000000002</v>
      </c>
      <c r="Z51" s="195">
        <f t="shared" si="74"/>
        <v>0.24312284686731023</v>
      </c>
      <c r="AA51" s="254">
        <f t="shared" ref="AA51:AA60" si="90">C51</f>
        <v>0.23300000000000001</v>
      </c>
      <c r="AB51" s="35">
        <f t="shared" ref="AB51:AB60" si="91">D51</f>
        <v>0.26100000000000001</v>
      </c>
      <c r="AC51" s="35">
        <f t="shared" ref="AC51:AC60" si="92">I51</f>
        <v>0.27600000000000002</v>
      </c>
      <c r="AD51" s="195">
        <f t="shared" si="75"/>
        <v>0.25788470634607802</v>
      </c>
      <c r="AE51" s="245">
        <f t="shared" ref="AE51:AE60" si="93">C51</f>
        <v>0.23300000000000001</v>
      </c>
      <c r="AF51" s="35">
        <f t="shared" ref="AF51:AF60" si="94">I51</f>
        <v>0.27600000000000002</v>
      </c>
      <c r="AG51" s="238">
        <f t="shared" si="76"/>
        <v>0.2562316742081448</v>
      </c>
      <c r="AH51" s="241">
        <f t="shared" ref="AH51:AH60" si="95">I51</f>
        <v>0.27600000000000002</v>
      </c>
      <c r="AI51" s="194">
        <f t="shared" ref="AI51:AI60" si="96">J51</f>
        <v>0.255</v>
      </c>
      <c r="AJ51" s="35">
        <f t="shared" ref="AJ51:AJ60" si="97">K51</f>
        <v>0.19400000000000001</v>
      </c>
      <c r="AK51" s="195">
        <f t="shared" si="77"/>
        <v>0.23636836106678827</v>
      </c>
      <c r="AL51" s="254">
        <f t="shared" ref="AL51:AL60" si="98">C51</f>
        <v>0.23300000000000001</v>
      </c>
      <c r="AM51" s="35">
        <f t="shared" ref="AM51:AM60" si="99">D51</f>
        <v>0.26100000000000001</v>
      </c>
      <c r="AN51" s="35">
        <f t="shared" ref="AN51:AN60" si="100">K51</f>
        <v>0.19400000000000001</v>
      </c>
      <c r="AO51" s="195">
        <f t="shared" si="78"/>
        <v>0.22266847984458477</v>
      </c>
    </row>
    <row r="52" spans="1:41" x14ac:dyDescent="0.25">
      <c r="A52" s="192" t="s">
        <v>432</v>
      </c>
      <c r="B52" s="35">
        <v>0.29299999999999998</v>
      </c>
      <c r="C52" s="35">
        <v>0.20599999999999999</v>
      </c>
      <c r="D52" s="35">
        <v>0.216</v>
      </c>
      <c r="E52" s="35">
        <v>0.14399999999999999</v>
      </c>
      <c r="F52" s="35">
        <v>0.38600000000000001</v>
      </c>
      <c r="G52" s="35">
        <v>0.26100000000000001</v>
      </c>
      <c r="H52" s="35">
        <v>0.25600000000000001</v>
      </c>
      <c r="I52" s="35">
        <v>0.29899999999999999</v>
      </c>
      <c r="J52" s="35">
        <v>0.14299999999999999</v>
      </c>
      <c r="K52" s="35">
        <v>0.19400000000000001</v>
      </c>
      <c r="L52" s="198">
        <f t="shared" si="71"/>
        <v>0.24329010712868668</v>
      </c>
      <c r="M52" s="245">
        <f t="shared" si="79"/>
        <v>0.29299999999999998</v>
      </c>
      <c r="N52" s="35">
        <f t="shared" si="80"/>
        <v>0.14399999999999999</v>
      </c>
      <c r="O52" s="35">
        <f t="shared" si="81"/>
        <v>0.38600000000000001</v>
      </c>
      <c r="P52" s="35">
        <f t="shared" si="82"/>
        <v>0.26100000000000001</v>
      </c>
      <c r="Q52" s="35">
        <f t="shared" si="83"/>
        <v>0.25600000000000001</v>
      </c>
      <c r="R52" s="238">
        <f t="shared" si="72"/>
        <v>0.26462270720413511</v>
      </c>
      <c r="S52" s="245">
        <f t="shared" si="84"/>
        <v>0.29299999999999998</v>
      </c>
      <c r="T52" s="35">
        <f t="shared" si="85"/>
        <v>0.14399999999999999</v>
      </c>
      <c r="U52" s="35">
        <f t="shared" si="86"/>
        <v>0.25600000000000001</v>
      </c>
      <c r="V52" s="195">
        <f t="shared" si="73"/>
        <v>0.23609928660733989</v>
      </c>
      <c r="W52" s="254">
        <f t="shared" si="87"/>
        <v>0.29299999999999998</v>
      </c>
      <c r="X52" s="35">
        <f t="shared" si="88"/>
        <v>0.216</v>
      </c>
      <c r="Y52" s="35">
        <f t="shared" si="89"/>
        <v>0.29899999999999999</v>
      </c>
      <c r="Z52" s="195">
        <f t="shared" si="74"/>
        <v>0.26939655498769632</v>
      </c>
      <c r="AA52" s="254">
        <f t="shared" si="90"/>
        <v>0.20599999999999999</v>
      </c>
      <c r="AB52" s="35">
        <f t="shared" si="91"/>
        <v>0.216</v>
      </c>
      <c r="AC52" s="35">
        <f t="shared" si="92"/>
        <v>0.29899999999999999</v>
      </c>
      <c r="AD52" s="195">
        <f t="shared" si="75"/>
        <v>0.24229345683878598</v>
      </c>
      <c r="AE52" s="245">
        <f t="shared" si="93"/>
        <v>0.20599999999999999</v>
      </c>
      <c r="AF52" s="35">
        <f t="shared" si="94"/>
        <v>0.29899999999999999</v>
      </c>
      <c r="AG52" s="238">
        <f t="shared" si="76"/>
        <v>0.25624524886877825</v>
      </c>
      <c r="AH52" s="241">
        <f t="shared" si="95"/>
        <v>0.29899999999999999</v>
      </c>
      <c r="AI52" s="194">
        <f t="shared" si="96"/>
        <v>0.14299999999999999</v>
      </c>
      <c r="AJ52" s="35">
        <f t="shared" si="97"/>
        <v>0.19400000000000001</v>
      </c>
      <c r="AK52" s="195">
        <f t="shared" si="77"/>
        <v>0.2058139958969683</v>
      </c>
      <c r="AL52" s="254">
        <f t="shared" si="98"/>
        <v>0.20599999999999999</v>
      </c>
      <c r="AM52" s="35">
        <f t="shared" si="99"/>
        <v>0.216</v>
      </c>
      <c r="AN52" s="35">
        <f t="shared" si="100"/>
        <v>0.19400000000000001</v>
      </c>
      <c r="AO52" s="195">
        <f t="shared" si="78"/>
        <v>0.20329422049538609</v>
      </c>
    </row>
    <row r="53" spans="1:41" x14ac:dyDescent="0.25">
      <c r="A53" s="192" t="s">
        <v>433</v>
      </c>
      <c r="B53" s="35">
        <v>0.34599999999999997</v>
      </c>
      <c r="C53" s="35">
        <v>0.22700000000000001</v>
      </c>
      <c r="D53" s="35">
        <v>0.215</v>
      </c>
      <c r="E53" s="35">
        <v>0.29399999999999998</v>
      </c>
      <c r="F53" s="35">
        <v>0.20200000000000001</v>
      </c>
      <c r="G53" s="35">
        <v>0.23599999999999999</v>
      </c>
      <c r="H53" s="35">
        <v>0.27900000000000003</v>
      </c>
      <c r="I53" s="35">
        <v>0.192</v>
      </c>
      <c r="J53" s="35">
        <v>0.188</v>
      </c>
      <c r="K53" s="35">
        <v>0.216</v>
      </c>
      <c r="L53" s="198">
        <f t="shared" si="71"/>
        <v>0.24346852268218491</v>
      </c>
      <c r="M53" s="245">
        <f t="shared" si="79"/>
        <v>0.34599999999999997</v>
      </c>
      <c r="N53" s="35">
        <f t="shared" si="80"/>
        <v>0.29399999999999998</v>
      </c>
      <c r="O53" s="35">
        <f t="shared" si="81"/>
        <v>0.20200000000000001</v>
      </c>
      <c r="P53" s="35">
        <f t="shared" si="82"/>
        <v>0.23599999999999999</v>
      </c>
      <c r="Q53" s="35">
        <f t="shared" si="83"/>
        <v>0.27900000000000003</v>
      </c>
      <c r="R53" s="238">
        <f t="shared" si="72"/>
        <v>0.26294870598370373</v>
      </c>
      <c r="S53" s="245">
        <f t="shared" si="84"/>
        <v>0.34599999999999997</v>
      </c>
      <c r="T53" s="35">
        <f t="shared" si="85"/>
        <v>0.29399999999999998</v>
      </c>
      <c r="U53" s="35">
        <f t="shared" si="86"/>
        <v>0.27900000000000003</v>
      </c>
      <c r="V53" s="195">
        <f t="shared" si="73"/>
        <v>0.30000735456350675</v>
      </c>
      <c r="W53" s="254">
        <f t="shared" si="87"/>
        <v>0.34599999999999997</v>
      </c>
      <c r="X53" s="35">
        <f t="shared" si="88"/>
        <v>0.215</v>
      </c>
      <c r="Y53" s="35">
        <f t="shared" si="89"/>
        <v>0.192</v>
      </c>
      <c r="Z53" s="195">
        <f t="shared" si="74"/>
        <v>0.25017508991103538</v>
      </c>
      <c r="AA53" s="254">
        <f t="shared" si="90"/>
        <v>0.22700000000000001</v>
      </c>
      <c r="AB53" s="35">
        <f t="shared" si="91"/>
        <v>0.215</v>
      </c>
      <c r="AC53" s="35">
        <f t="shared" si="92"/>
        <v>0.192</v>
      </c>
      <c r="AD53" s="195">
        <f t="shared" si="75"/>
        <v>0.21048581001182501</v>
      </c>
      <c r="AE53" s="245">
        <f t="shared" si="93"/>
        <v>0.22700000000000001</v>
      </c>
      <c r="AF53" s="35">
        <f t="shared" si="94"/>
        <v>0.192</v>
      </c>
      <c r="AG53" s="238">
        <f t="shared" si="76"/>
        <v>0.20809049773755656</v>
      </c>
      <c r="AH53" s="241">
        <f t="shared" si="95"/>
        <v>0.192</v>
      </c>
      <c r="AI53" s="194">
        <f t="shared" si="96"/>
        <v>0.188</v>
      </c>
      <c r="AJ53" s="35">
        <f t="shared" si="97"/>
        <v>0.216</v>
      </c>
      <c r="AK53" s="195">
        <f t="shared" si="77"/>
        <v>0.20026441759744701</v>
      </c>
      <c r="AL53" s="254">
        <f t="shared" si="98"/>
        <v>0.22700000000000001</v>
      </c>
      <c r="AM53" s="35">
        <f t="shared" si="99"/>
        <v>0.215</v>
      </c>
      <c r="AN53" s="35">
        <f t="shared" si="100"/>
        <v>0.216</v>
      </c>
      <c r="AO53" s="195">
        <f t="shared" si="78"/>
        <v>0.21728664400194272</v>
      </c>
    </row>
    <row r="54" spans="1:41" x14ac:dyDescent="0.25">
      <c r="A54" s="192" t="s">
        <v>434</v>
      </c>
      <c r="B54" s="35">
        <v>3.7999999999999999E-2</v>
      </c>
      <c r="C54" s="35">
        <v>0.13200000000000001</v>
      </c>
      <c r="D54" s="35">
        <v>9.8000000000000004E-2</v>
      </c>
      <c r="E54" s="35">
        <v>0.21099999999999999</v>
      </c>
      <c r="F54" s="35">
        <v>0.14699999999999999</v>
      </c>
      <c r="G54" s="35">
        <v>0.14899999999999999</v>
      </c>
      <c r="H54" s="35">
        <v>0.104</v>
      </c>
      <c r="I54" s="35">
        <v>7.9000000000000001E-2</v>
      </c>
      <c r="J54" s="35">
        <v>0.16</v>
      </c>
      <c r="K54" s="35">
        <v>0.16200000000000001</v>
      </c>
      <c r="L54" s="198">
        <f t="shared" si="71"/>
        <v>0.11845258563682053</v>
      </c>
      <c r="M54" s="245">
        <f t="shared" si="79"/>
        <v>3.7999999999999999E-2</v>
      </c>
      <c r="N54" s="35">
        <f t="shared" si="80"/>
        <v>0.21099999999999999</v>
      </c>
      <c r="O54" s="35">
        <f t="shared" si="81"/>
        <v>0.14699999999999999</v>
      </c>
      <c r="P54" s="35">
        <f t="shared" si="82"/>
        <v>0.14899999999999999</v>
      </c>
      <c r="Q54" s="35">
        <f t="shared" si="83"/>
        <v>0.104</v>
      </c>
      <c r="R54" s="238">
        <f t="shared" si="72"/>
        <v>0.13225043971427547</v>
      </c>
      <c r="S54" s="245">
        <f t="shared" si="84"/>
        <v>3.7999999999999999E-2</v>
      </c>
      <c r="T54" s="35">
        <f t="shared" si="85"/>
        <v>0.21099999999999999</v>
      </c>
      <c r="U54" s="35">
        <f t="shared" si="86"/>
        <v>0.104</v>
      </c>
      <c r="V54" s="195">
        <f t="shared" si="73"/>
        <v>0.11519886739721999</v>
      </c>
      <c r="W54" s="254">
        <f t="shared" si="87"/>
        <v>3.7999999999999999E-2</v>
      </c>
      <c r="X54" s="35">
        <f t="shared" si="88"/>
        <v>9.8000000000000004E-2</v>
      </c>
      <c r="Y54" s="35">
        <f t="shared" si="89"/>
        <v>7.9000000000000001E-2</v>
      </c>
      <c r="Z54" s="195">
        <f t="shared" si="74"/>
        <v>7.1876774559909137E-2</v>
      </c>
      <c r="AA54" s="254">
        <f t="shared" si="90"/>
        <v>0.13200000000000001</v>
      </c>
      <c r="AB54" s="35">
        <f t="shared" si="91"/>
        <v>9.8000000000000004E-2</v>
      </c>
      <c r="AC54" s="35">
        <f t="shared" si="92"/>
        <v>7.9000000000000001E-2</v>
      </c>
      <c r="AD54" s="195">
        <f t="shared" si="75"/>
        <v>0.10150551832873472</v>
      </c>
      <c r="AE54" s="245">
        <f t="shared" si="93"/>
        <v>0.13200000000000001</v>
      </c>
      <c r="AF54" s="35">
        <f t="shared" si="94"/>
        <v>7.9000000000000001E-2</v>
      </c>
      <c r="AG54" s="238">
        <f t="shared" si="76"/>
        <v>0.10336561085972851</v>
      </c>
      <c r="AH54" s="241">
        <f t="shared" si="95"/>
        <v>7.9000000000000001E-2</v>
      </c>
      <c r="AI54" s="194">
        <f t="shared" si="96"/>
        <v>0.16</v>
      </c>
      <c r="AJ54" s="35">
        <f t="shared" si="97"/>
        <v>0.16200000000000001</v>
      </c>
      <c r="AK54" s="195">
        <f t="shared" si="77"/>
        <v>0.1387526783679052</v>
      </c>
      <c r="AL54" s="254">
        <f t="shared" si="98"/>
        <v>0.13200000000000001</v>
      </c>
      <c r="AM54" s="35">
        <f t="shared" si="99"/>
        <v>9.8000000000000004E-2</v>
      </c>
      <c r="AN54" s="35">
        <f t="shared" si="100"/>
        <v>0.16200000000000001</v>
      </c>
      <c r="AO54" s="195">
        <f t="shared" si="78"/>
        <v>0.13568897523069454</v>
      </c>
    </row>
    <row r="55" spans="1:41" x14ac:dyDescent="0.25">
      <c r="A55" s="192" t="s">
        <v>435</v>
      </c>
      <c r="B55" s="35">
        <v>1.6E-2</v>
      </c>
      <c r="C55" s="35">
        <v>2.7E-2</v>
      </c>
      <c r="D55" s="35">
        <v>2.1999999999999999E-2</v>
      </c>
      <c r="E55" s="35">
        <v>1.7999999999999999E-2</v>
      </c>
      <c r="F55" s="35">
        <v>2.5999999999999999E-2</v>
      </c>
      <c r="G55" s="35">
        <v>3.5999999999999997E-2</v>
      </c>
      <c r="H55" s="35">
        <v>3.5999999999999997E-2</v>
      </c>
      <c r="I55" s="35">
        <v>3.6999999999999998E-2</v>
      </c>
      <c r="J55" s="35">
        <v>2.5999999999999999E-2</v>
      </c>
      <c r="K55" s="35">
        <v>0.104</v>
      </c>
      <c r="L55" s="198">
        <f t="shared" si="71"/>
        <v>3.7229334744081466E-2</v>
      </c>
      <c r="M55" s="245">
        <f t="shared" si="79"/>
        <v>1.6E-2</v>
      </c>
      <c r="N55" s="35">
        <f t="shared" si="80"/>
        <v>1.7999999999999999E-2</v>
      </c>
      <c r="O55" s="35">
        <f t="shared" si="81"/>
        <v>2.5999999999999999E-2</v>
      </c>
      <c r="P55" s="35">
        <f t="shared" si="82"/>
        <v>3.5999999999999997E-2</v>
      </c>
      <c r="Q55" s="35">
        <f t="shared" si="83"/>
        <v>3.5999999999999997E-2</v>
      </c>
      <c r="R55" s="238">
        <f t="shared" si="72"/>
        <v>2.9948885458918124E-2</v>
      </c>
      <c r="S55" s="245">
        <f t="shared" si="84"/>
        <v>1.6E-2</v>
      </c>
      <c r="T55" s="35">
        <f t="shared" si="85"/>
        <v>1.7999999999999999E-2</v>
      </c>
      <c r="U55" s="35">
        <f t="shared" si="86"/>
        <v>3.5999999999999997E-2</v>
      </c>
      <c r="V55" s="195">
        <f t="shared" si="73"/>
        <v>2.6187688460689855E-2</v>
      </c>
      <c r="W55" s="254">
        <f t="shared" si="87"/>
        <v>1.6E-2</v>
      </c>
      <c r="X55" s="35">
        <f t="shared" si="88"/>
        <v>2.1999999999999999E-2</v>
      </c>
      <c r="Y55" s="35">
        <f t="shared" si="89"/>
        <v>3.6999999999999998E-2</v>
      </c>
      <c r="Z55" s="195">
        <f t="shared" si="74"/>
        <v>2.5116978989210673E-2</v>
      </c>
      <c r="AA55" s="254">
        <f t="shared" si="90"/>
        <v>2.7E-2</v>
      </c>
      <c r="AB55" s="35">
        <f t="shared" si="91"/>
        <v>2.1999999999999999E-2</v>
      </c>
      <c r="AC55" s="35">
        <f t="shared" si="92"/>
        <v>3.6999999999999998E-2</v>
      </c>
      <c r="AD55" s="195">
        <f t="shared" si="75"/>
        <v>2.8796413086322428E-2</v>
      </c>
      <c r="AE55" s="245">
        <f t="shared" si="93"/>
        <v>2.7E-2</v>
      </c>
      <c r="AF55" s="35">
        <f t="shared" si="94"/>
        <v>3.6999999999999998E-2</v>
      </c>
      <c r="AG55" s="238">
        <f t="shared" si="76"/>
        <v>3.2402714932126694E-2</v>
      </c>
      <c r="AH55" s="241">
        <f t="shared" si="95"/>
        <v>3.6999999999999998E-2</v>
      </c>
      <c r="AI55" s="194">
        <f t="shared" si="96"/>
        <v>2.5999999999999999E-2</v>
      </c>
      <c r="AJ55" s="35">
        <f t="shared" si="97"/>
        <v>0.104</v>
      </c>
      <c r="AK55" s="195">
        <f t="shared" si="77"/>
        <v>6.0126282197401411E-2</v>
      </c>
      <c r="AL55" s="254">
        <f t="shared" si="98"/>
        <v>2.7E-2</v>
      </c>
      <c r="AM55" s="35">
        <f t="shared" si="99"/>
        <v>2.1999999999999999E-2</v>
      </c>
      <c r="AN55" s="35">
        <f t="shared" si="100"/>
        <v>0.104</v>
      </c>
      <c r="AO55" s="195">
        <f t="shared" si="78"/>
        <v>6.4580475959203493E-2</v>
      </c>
    </row>
    <row r="56" spans="1:41" x14ac:dyDescent="0.25">
      <c r="A56" s="192" t="s">
        <v>436</v>
      </c>
      <c r="B56" s="35">
        <v>2.1999999999999999E-2</v>
      </c>
      <c r="C56" s="35">
        <v>5.0999999999999997E-2</v>
      </c>
      <c r="D56" s="35">
        <v>6.9000000000000006E-2</v>
      </c>
      <c r="E56" s="35">
        <v>0.14199999999999999</v>
      </c>
      <c r="F56" s="35">
        <v>0.111</v>
      </c>
      <c r="G56" s="35">
        <v>5.6000000000000001E-2</v>
      </c>
      <c r="H56" s="35">
        <v>8.9999999999999993E-3</v>
      </c>
      <c r="I56" s="35">
        <v>0.1</v>
      </c>
      <c r="J56" s="35">
        <v>0.13300000000000001</v>
      </c>
      <c r="K56" s="35">
        <v>0.11</v>
      </c>
      <c r="L56" s="198">
        <f t="shared" si="71"/>
        <v>7.2227350879513305E-2</v>
      </c>
      <c r="M56" s="245">
        <f t="shared" si="79"/>
        <v>2.1999999999999999E-2</v>
      </c>
      <c r="N56" s="35">
        <f t="shared" si="80"/>
        <v>0.14199999999999999</v>
      </c>
      <c r="O56" s="35">
        <f t="shared" si="81"/>
        <v>0.111</v>
      </c>
      <c r="P56" s="35">
        <f t="shared" si="82"/>
        <v>5.6000000000000001E-2</v>
      </c>
      <c r="Q56" s="35">
        <f t="shared" si="83"/>
        <v>8.9999999999999993E-3</v>
      </c>
      <c r="R56" s="238">
        <f t="shared" si="72"/>
        <v>5.8620050970960916E-2</v>
      </c>
      <c r="S56" s="245">
        <f t="shared" si="84"/>
        <v>2.1999999999999999E-2</v>
      </c>
      <c r="T56" s="35">
        <f t="shared" si="85"/>
        <v>0.14199999999999999</v>
      </c>
      <c r="U56" s="35">
        <f t="shared" si="86"/>
        <v>8.9999999999999993E-3</v>
      </c>
      <c r="V56" s="195">
        <f t="shared" si="73"/>
        <v>4.7145988085607111E-2</v>
      </c>
      <c r="W56" s="254">
        <f t="shared" si="87"/>
        <v>2.1999999999999999E-2</v>
      </c>
      <c r="X56" s="35">
        <f t="shared" si="88"/>
        <v>6.9000000000000006E-2</v>
      </c>
      <c r="Y56" s="35">
        <f t="shared" si="89"/>
        <v>0.1</v>
      </c>
      <c r="Z56" s="195">
        <f t="shared" si="74"/>
        <v>6.4091803899299638E-2</v>
      </c>
      <c r="AA56" s="254">
        <f t="shared" si="90"/>
        <v>5.0999999999999997E-2</v>
      </c>
      <c r="AB56" s="35">
        <f t="shared" si="91"/>
        <v>6.9000000000000006E-2</v>
      </c>
      <c r="AC56" s="35">
        <f t="shared" si="92"/>
        <v>0.1</v>
      </c>
      <c r="AD56" s="195">
        <f t="shared" si="75"/>
        <v>7.453586913677572E-2</v>
      </c>
      <c r="AE56" s="245">
        <f t="shared" si="93"/>
        <v>5.0999999999999997E-2</v>
      </c>
      <c r="AF56" s="35">
        <f t="shared" si="94"/>
        <v>0.1</v>
      </c>
      <c r="AG56" s="238">
        <f t="shared" si="76"/>
        <v>7.7473303167420821E-2</v>
      </c>
      <c r="AH56" s="241">
        <f t="shared" si="95"/>
        <v>0.1</v>
      </c>
      <c r="AI56" s="194">
        <f t="shared" si="96"/>
        <v>0.13300000000000001</v>
      </c>
      <c r="AJ56" s="35">
        <f t="shared" si="97"/>
        <v>0.11</v>
      </c>
      <c r="AK56" s="195">
        <f>((AH56*$AH$36)+(AI56*$AI$36)+(AJ56*$AJ$36))/$AK$36</f>
        <v>0.11483838614087076</v>
      </c>
      <c r="AL56" s="254">
        <f t="shared" si="98"/>
        <v>5.0999999999999997E-2</v>
      </c>
      <c r="AM56" s="35">
        <f t="shared" si="99"/>
        <v>6.9000000000000006E-2</v>
      </c>
      <c r="AN56" s="35">
        <f t="shared" si="100"/>
        <v>0.11</v>
      </c>
      <c r="AO56" s="195">
        <f t="shared" si="78"/>
        <v>8.7255560951918415E-2</v>
      </c>
    </row>
    <row r="57" spans="1:41" x14ac:dyDescent="0.25">
      <c r="A57" s="192" t="s">
        <v>437</v>
      </c>
      <c r="B57" s="35">
        <v>1.4E-2</v>
      </c>
      <c r="C57" s="35">
        <v>7.0000000000000001E-3</v>
      </c>
      <c r="D57" s="35">
        <v>3.5999999999999997E-2</v>
      </c>
      <c r="E57" s="35">
        <v>3.1E-2</v>
      </c>
      <c r="F57" s="35">
        <v>2.5999999999999999E-2</v>
      </c>
      <c r="G57" s="35">
        <v>1.0999999999999999E-2</v>
      </c>
      <c r="H57" s="35">
        <v>3.0000000000000001E-3</v>
      </c>
      <c r="I57" s="35">
        <v>1.7000000000000001E-2</v>
      </c>
      <c r="J57" s="35">
        <v>1.6E-2</v>
      </c>
      <c r="K57" s="35">
        <v>5.0000000000000001E-3</v>
      </c>
      <c r="L57" s="198">
        <f t="shared" si="71"/>
        <v>1.5466803332892473E-2</v>
      </c>
      <c r="M57" s="245">
        <f t="shared" si="79"/>
        <v>1.4E-2</v>
      </c>
      <c r="N57" s="35">
        <f t="shared" si="80"/>
        <v>3.1E-2</v>
      </c>
      <c r="O57" s="35">
        <f t="shared" si="81"/>
        <v>2.5999999999999999E-2</v>
      </c>
      <c r="P57" s="35">
        <f t="shared" si="82"/>
        <v>1.0999999999999999E-2</v>
      </c>
      <c r="Q57" s="35">
        <f t="shared" si="83"/>
        <v>3.0000000000000001E-3</v>
      </c>
      <c r="R57" s="238">
        <f t="shared" si="72"/>
        <v>1.3936142718690548E-2</v>
      </c>
      <c r="S57" s="245">
        <f t="shared" si="84"/>
        <v>1.4E-2</v>
      </c>
      <c r="T57" s="35">
        <f t="shared" si="85"/>
        <v>3.1E-2</v>
      </c>
      <c r="U57" s="35">
        <f t="shared" si="86"/>
        <v>3.0000000000000001E-3</v>
      </c>
      <c r="V57" s="195">
        <f t="shared" si="73"/>
        <v>1.3137089063764066E-2</v>
      </c>
      <c r="W57" s="254">
        <f t="shared" si="87"/>
        <v>1.4E-2</v>
      </c>
      <c r="X57" s="35">
        <f t="shared" si="88"/>
        <v>3.5999999999999997E-2</v>
      </c>
      <c r="Y57" s="35">
        <f t="shared" si="89"/>
        <v>1.7000000000000001E-2</v>
      </c>
      <c r="Z57" s="195">
        <f t="shared" si="74"/>
        <v>2.2342040507287525E-2</v>
      </c>
      <c r="AA57" s="254">
        <f t="shared" si="90"/>
        <v>7.0000000000000001E-3</v>
      </c>
      <c r="AB57" s="35">
        <f t="shared" si="91"/>
        <v>3.5999999999999997E-2</v>
      </c>
      <c r="AC57" s="35">
        <f t="shared" si="92"/>
        <v>1.7000000000000001E-2</v>
      </c>
      <c r="AD57" s="195">
        <f t="shared" si="75"/>
        <v>2.0583169097359088E-2</v>
      </c>
      <c r="AE57" s="245">
        <f t="shared" si="93"/>
        <v>7.0000000000000001E-3</v>
      </c>
      <c r="AF57" s="35">
        <f t="shared" si="94"/>
        <v>1.7000000000000001E-2</v>
      </c>
      <c r="AG57" s="238">
        <f t="shared" si="76"/>
        <v>1.2402714932126699E-2</v>
      </c>
      <c r="AH57" s="241">
        <f t="shared" si="95"/>
        <v>1.7000000000000001E-2</v>
      </c>
      <c r="AI57" s="194">
        <f t="shared" si="96"/>
        <v>1.6E-2</v>
      </c>
      <c r="AJ57" s="35">
        <f t="shared" si="97"/>
        <v>5.0000000000000001E-3</v>
      </c>
      <c r="AK57" s="195">
        <f t="shared" si="77"/>
        <v>1.1881695919762937E-2</v>
      </c>
      <c r="AL57" s="254">
        <f t="shared" si="98"/>
        <v>7.0000000000000001E-3</v>
      </c>
      <c r="AM57" s="35">
        <f t="shared" si="99"/>
        <v>3.5999999999999997E-2</v>
      </c>
      <c r="AN57" s="35">
        <f t="shared" si="100"/>
        <v>5.0000000000000001E-3</v>
      </c>
      <c r="AO57" s="195">
        <f t="shared" si="78"/>
        <v>1.5889363768819813E-2</v>
      </c>
    </row>
    <row r="58" spans="1:41" x14ac:dyDescent="0.25">
      <c r="A58" s="192" t="s">
        <v>438</v>
      </c>
      <c r="B58" s="35">
        <v>2.1000000000000001E-2</v>
      </c>
      <c r="C58" s="35">
        <v>2.1999999999999999E-2</v>
      </c>
      <c r="D58" s="35">
        <v>2.7E-2</v>
      </c>
      <c r="E58" s="35">
        <v>1.7000000000000001E-2</v>
      </c>
      <c r="F58" s="35">
        <v>8.9999999999999993E-3</v>
      </c>
      <c r="G58" s="35">
        <v>0.03</v>
      </c>
      <c r="H58" s="35">
        <v>5.0000000000000001E-3</v>
      </c>
      <c r="I58" s="35">
        <v>0</v>
      </c>
      <c r="J58" s="35">
        <v>3.5999999999999997E-2</v>
      </c>
      <c r="K58" s="35">
        <v>0.01</v>
      </c>
      <c r="L58" s="198">
        <f t="shared" si="71"/>
        <v>1.5860137547943392E-2</v>
      </c>
      <c r="M58" s="245">
        <f t="shared" si="79"/>
        <v>2.1000000000000001E-2</v>
      </c>
      <c r="N58" s="35">
        <f t="shared" si="80"/>
        <v>1.7000000000000001E-2</v>
      </c>
      <c r="O58" s="35">
        <f t="shared" si="81"/>
        <v>8.9999999999999993E-3</v>
      </c>
      <c r="P58" s="35">
        <f t="shared" si="82"/>
        <v>0.03</v>
      </c>
      <c r="Q58" s="35">
        <f t="shared" si="83"/>
        <v>5.0000000000000001E-3</v>
      </c>
      <c r="R58" s="238">
        <f t="shared" si="72"/>
        <v>1.867249362862989E-2</v>
      </c>
      <c r="S58" s="245">
        <f t="shared" si="84"/>
        <v>2.1000000000000001E-2</v>
      </c>
      <c r="T58" s="35">
        <f t="shared" si="85"/>
        <v>1.7000000000000001E-2</v>
      </c>
      <c r="U58" s="35">
        <f t="shared" si="86"/>
        <v>5.0000000000000001E-3</v>
      </c>
      <c r="V58" s="195">
        <f t="shared" si="73"/>
        <v>1.2221298815915278E-2</v>
      </c>
      <c r="W58" s="254">
        <f t="shared" si="87"/>
        <v>2.1000000000000001E-2</v>
      </c>
      <c r="X58" s="35">
        <f t="shared" si="88"/>
        <v>2.7E-2</v>
      </c>
      <c r="Y58" s="35">
        <f t="shared" si="89"/>
        <v>0</v>
      </c>
      <c r="Z58" s="195">
        <f t="shared" si="74"/>
        <v>1.5878478137421916E-2</v>
      </c>
      <c r="AA58" s="254">
        <f t="shared" si="90"/>
        <v>2.1999999999999999E-2</v>
      </c>
      <c r="AB58" s="35">
        <f t="shared" si="91"/>
        <v>2.7E-2</v>
      </c>
      <c r="AC58" s="35">
        <f t="shared" si="92"/>
        <v>0</v>
      </c>
      <c r="AD58" s="195">
        <f t="shared" si="75"/>
        <v>1.596787544343713E-2</v>
      </c>
      <c r="AE58" s="245">
        <f t="shared" si="93"/>
        <v>2.1999999999999999E-2</v>
      </c>
      <c r="AF58" s="35">
        <f t="shared" si="94"/>
        <v>0</v>
      </c>
      <c r="AG58" s="238">
        <f t="shared" si="76"/>
        <v>1.0114027149321267E-2</v>
      </c>
      <c r="AH58" s="241">
        <f t="shared" si="95"/>
        <v>0</v>
      </c>
      <c r="AI58" s="194">
        <f t="shared" si="96"/>
        <v>3.5999999999999997E-2</v>
      </c>
      <c r="AJ58" s="35">
        <f t="shared" si="97"/>
        <v>0.01</v>
      </c>
      <c r="AK58" s="195">
        <f t="shared" si="77"/>
        <v>1.5824481422384316E-2</v>
      </c>
      <c r="AL58" s="254">
        <f t="shared" si="98"/>
        <v>2.1999999999999999E-2</v>
      </c>
      <c r="AM58" s="35">
        <f t="shared" si="99"/>
        <v>2.7E-2</v>
      </c>
      <c r="AN58" s="35">
        <f t="shared" si="100"/>
        <v>0.01</v>
      </c>
      <c r="AO58" s="195">
        <f t="shared" si="78"/>
        <v>1.7585624089363771E-2</v>
      </c>
    </row>
    <row r="59" spans="1:41" x14ac:dyDescent="0.25">
      <c r="A59" s="192" t="s">
        <v>439</v>
      </c>
      <c r="B59" s="35">
        <v>5.8999999999999997E-2</v>
      </c>
      <c r="C59" s="35">
        <v>9.5000000000000001E-2</v>
      </c>
      <c r="D59" s="35">
        <v>5.7000000000000002E-2</v>
      </c>
      <c r="E59" s="35">
        <v>2.9000000000000001E-2</v>
      </c>
      <c r="F59" s="35">
        <v>3.6999999999999998E-2</v>
      </c>
      <c r="G59" s="35">
        <v>2.9000000000000001E-2</v>
      </c>
      <c r="H59" s="35">
        <v>1.7999999999999999E-2</v>
      </c>
      <c r="I59" s="35">
        <v>0</v>
      </c>
      <c r="J59" s="35">
        <v>4.2999999999999997E-2</v>
      </c>
      <c r="K59" s="35">
        <v>6.0000000000000001E-3</v>
      </c>
      <c r="L59" s="198">
        <f t="shared" si="71"/>
        <v>3.2271062028832169E-2</v>
      </c>
      <c r="M59" s="245">
        <f t="shared" si="79"/>
        <v>5.8999999999999997E-2</v>
      </c>
      <c r="N59" s="35">
        <f t="shared" si="80"/>
        <v>2.9000000000000001E-2</v>
      </c>
      <c r="O59" s="35">
        <f t="shared" si="81"/>
        <v>3.6999999999999998E-2</v>
      </c>
      <c r="P59" s="35">
        <f t="shared" si="82"/>
        <v>2.9000000000000001E-2</v>
      </c>
      <c r="Q59" s="35">
        <f t="shared" si="83"/>
        <v>1.7999999999999999E-2</v>
      </c>
      <c r="R59" s="238">
        <f t="shared" si="72"/>
        <v>3.1147887576725656E-2</v>
      </c>
      <c r="S59" s="245">
        <f t="shared" si="84"/>
        <v>5.8999999999999997E-2</v>
      </c>
      <c r="T59" s="35">
        <f t="shared" si="85"/>
        <v>2.9000000000000001E-2</v>
      </c>
      <c r="U59" s="35">
        <f t="shared" si="86"/>
        <v>1.7999999999999999E-2</v>
      </c>
      <c r="V59" s="195">
        <f t="shared" si="73"/>
        <v>3.1332132087960582E-2</v>
      </c>
      <c r="W59" s="254">
        <f t="shared" si="87"/>
        <v>5.8999999999999997E-2</v>
      </c>
      <c r="X59" s="35">
        <f t="shared" si="88"/>
        <v>5.7000000000000002E-2</v>
      </c>
      <c r="Y59" s="35">
        <f t="shared" si="89"/>
        <v>0</v>
      </c>
      <c r="Z59" s="195">
        <f t="shared" si="74"/>
        <v>3.8332386901381792E-2</v>
      </c>
      <c r="AA59" s="254">
        <f t="shared" si="90"/>
        <v>9.5000000000000001E-2</v>
      </c>
      <c r="AB59" s="35">
        <f t="shared" si="91"/>
        <v>5.7000000000000002E-2</v>
      </c>
      <c r="AC59" s="35">
        <f t="shared" si="92"/>
        <v>0</v>
      </c>
      <c r="AD59" s="195">
        <f t="shared" si="75"/>
        <v>4.8293851005124164E-2</v>
      </c>
      <c r="AE59" s="245">
        <f t="shared" si="93"/>
        <v>9.5000000000000001E-2</v>
      </c>
      <c r="AF59" s="35">
        <f t="shared" si="94"/>
        <v>0</v>
      </c>
      <c r="AG59" s="238">
        <f t="shared" si="76"/>
        <v>4.3674208144796375E-2</v>
      </c>
      <c r="AH59" s="241">
        <f t="shared" si="95"/>
        <v>0</v>
      </c>
      <c r="AI59" s="194">
        <f t="shared" si="96"/>
        <v>4.2999999999999997E-2</v>
      </c>
      <c r="AJ59" s="35">
        <f t="shared" si="97"/>
        <v>6.0000000000000001E-3</v>
      </c>
      <c r="AK59" s="195">
        <f t="shared" si="77"/>
        <v>1.6528835194894006E-2</v>
      </c>
      <c r="AL59" s="254">
        <f t="shared" si="98"/>
        <v>9.5000000000000001E-2</v>
      </c>
      <c r="AM59" s="35">
        <f t="shared" si="99"/>
        <v>5.7000000000000002E-2</v>
      </c>
      <c r="AN59" s="35">
        <f t="shared" si="100"/>
        <v>6.0000000000000001E-3</v>
      </c>
      <c r="AO59" s="195">
        <f t="shared" si="78"/>
        <v>3.6602622632345802E-2</v>
      </c>
    </row>
    <row r="60" spans="1:41" x14ac:dyDescent="0.25">
      <c r="A60" s="192" t="s">
        <v>88</v>
      </c>
      <c r="B60" s="5">
        <v>16.399999999999999</v>
      </c>
      <c r="C60" s="5">
        <v>18.899999999999999</v>
      </c>
      <c r="D60" s="5">
        <v>18.8</v>
      </c>
      <c r="E60" s="5">
        <v>19.5</v>
      </c>
      <c r="F60" s="5">
        <v>17.7</v>
      </c>
      <c r="G60" s="5">
        <v>18.5</v>
      </c>
      <c r="H60" s="5">
        <v>14.5</v>
      </c>
      <c r="I60" s="5">
        <v>13.6</v>
      </c>
      <c r="J60" s="5">
        <v>19.399999999999999</v>
      </c>
      <c r="K60" s="5">
        <v>16.3</v>
      </c>
      <c r="L60" s="199">
        <f t="shared" si="71"/>
        <v>16.803696600978707</v>
      </c>
      <c r="M60" s="247">
        <f t="shared" si="79"/>
        <v>16.399999999999999</v>
      </c>
      <c r="N60" s="5">
        <f t="shared" si="80"/>
        <v>19.5</v>
      </c>
      <c r="O60" s="5">
        <f t="shared" si="81"/>
        <v>17.7</v>
      </c>
      <c r="P60" s="5">
        <f t="shared" si="82"/>
        <v>18.5</v>
      </c>
      <c r="Q60" s="5">
        <f t="shared" si="83"/>
        <v>14.5</v>
      </c>
      <c r="R60" s="251">
        <f t="shared" si="72"/>
        <v>17.322269284611796</v>
      </c>
      <c r="S60" s="247">
        <f t="shared" si="84"/>
        <v>16.399999999999999</v>
      </c>
      <c r="T60" s="5">
        <f t="shared" si="85"/>
        <v>19.5</v>
      </c>
      <c r="U60" s="5">
        <f t="shared" si="86"/>
        <v>14.5</v>
      </c>
      <c r="V60" s="240">
        <f t="shared" si="73"/>
        <v>16.293807457527397</v>
      </c>
      <c r="W60" s="257">
        <f t="shared" si="87"/>
        <v>16.399999999999999</v>
      </c>
      <c r="X60" s="5">
        <f t="shared" si="88"/>
        <v>18.8</v>
      </c>
      <c r="Y60" s="5">
        <f t="shared" si="89"/>
        <v>13.6</v>
      </c>
      <c r="Z60" s="240">
        <f t="shared" si="74"/>
        <v>16.249858035207268</v>
      </c>
      <c r="AA60" s="257">
        <f t="shared" si="90"/>
        <v>18.899999999999999</v>
      </c>
      <c r="AB60" s="5">
        <f t="shared" si="91"/>
        <v>18.8</v>
      </c>
      <c r="AC60" s="5">
        <f t="shared" si="92"/>
        <v>13.6</v>
      </c>
      <c r="AD60" s="240">
        <f t="shared" si="75"/>
        <v>16.994560504532913</v>
      </c>
      <c r="AE60" s="247">
        <f t="shared" si="93"/>
        <v>18.899999999999999</v>
      </c>
      <c r="AF60" s="99">
        <f t="shared" si="94"/>
        <v>13.6</v>
      </c>
      <c r="AG60" s="251">
        <f t="shared" si="76"/>
        <v>16.036561085972849</v>
      </c>
      <c r="AH60" s="261">
        <f t="shared" si="95"/>
        <v>13.6</v>
      </c>
      <c r="AI60" s="209">
        <f t="shared" si="96"/>
        <v>19.399999999999999</v>
      </c>
      <c r="AJ60" s="99">
        <f t="shared" si="97"/>
        <v>16.3</v>
      </c>
      <c r="AK60" s="240">
        <f t="shared" si="77"/>
        <v>16.584112149532711</v>
      </c>
      <c r="AL60" s="257">
        <f t="shared" si="98"/>
        <v>18.899999999999999</v>
      </c>
      <c r="AM60" s="5">
        <f t="shared" si="99"/>
        <v>18.8</v>
      </c>
      <c r="AN60" s="5">
        <f t="shared" si="100"/>
        <v>16.3</v>
      </c>
      <c r="AO60" s="240">
        <f t="shared" si="78"/>
        <v>17.539184069936862</v>
      </c>
    </row>
    <row r="61" spans="1:41" x14ac:dyDescent="0.25">
      <c r="A61" s="192" t="s">
        <v>89</v>
      </c>
      <c r="B61" s="5"/>
      <c r="C61" s="5"/>
      <c r="D61" s="5"/>
      <c r="E61" s="5"/>
      <c r="F61" s="5"/>
      <c r="G61" s="5"/>
      <c r="H61" s="5"/>
      <c r="I61" s="5"/>
      <c r="J61" s="5"/>
      <c r="K61" s="5"/>
      <c r="L61" s="43"/>
      <c r="M61" s="41"/>
      <c r="N61" s="5"/>
      <c r="O61" s="5"/>
      <c r="P61" s="5"/>
      <c r="Q61" s="5"/>
      <c r="R61" s="237"/>
      <c r="S61" s="41"/>
      <c r="T61" s="5"/>
      <c r="U61" s="5"/>
      <c r="V61" s="43"/>
      <c r="W61" s="258"/>
      <c r="X61" s="5"/>
      <c r="Y61" s="5"/>
      <c r="Z61" s="43"/>
      <c r="AA61" s="258"/>
      <c r="AB61" s="5"/>
      <c r="AC61" s="5"/>
      <c r="AD61" s="43"/>
      <c r="AE61" s="41"/>
      <c r="AF61" s="5"/>
      <c r="AG61" s="237"/>
      <c r="AH61" s="41"/>
      <c r="AI61" s="5"/>
      <c r="AJ61" s="5"/>
      <c r="AK61" s="43"/>
      <c r="AL61" s="258"/>
      <c r="AM61" s="5"/>
      <c r="AN61" s="5"/>
      <c r="AO61" s="43"/>
    </row>
    <row r="62" spans="1:41" x14ac:dyDescent="0.25">
      <c r="A62" s="192" t="s">
        <v>440</v>
      </c>
      <c r="B62" s="38">
        <v>1713</v>
      </c>
      <c r="C62" s="38">
        <v>945</v>
      </c>
      <c r="D62" s="38">
        <v>1388</v>
      </c>
      <c r="E62" s="38">
        <v>1187</v>
      </c>
      <c r="F62" s="38">
        <v>584</v>
      </c>
      <c r="G62" s="38">
        <v>1791</v>
      </c>
      <c r="H62" s="38">
        <v>1409</v>
      </c>
      <c r="I62" s="38">
        <v>2323</v>
      </c>
      <c r="J62" s="38">
        <v>721</v>
      </c>
      <c r="K62" s="38">
        <v>1751</v>
      </c>
      <c r="L62" s="42">
        <f>SUM(B62:K62)</f>
        <v>13812</v>
      </c>
      <c r="M62" s="243">
        <f>(1/3)*B62</f>
        <v>571</v>
      </c>
      <c r="N62" s="100">
        <f>(1/2)*E62</f>
        <v>593.5</v>
      </c>
      <c r="O62" s="38">
        <f t="shared" ref="O62:P66" si="101">F62</f>
        <v>584</v>
      </c>
      <c r="P62" s="38">
        <f t="shared" si="101"/>
        <v>1791</v>
      </c>
      <c r="Q62" s="100">
        <f>(1/2)*H62</f>
        <v>704.5</v>
      </c>
      <c r="R62" s="166">
        <f>SUM(M62:Q62)</f>
        <v>4244</v>
      </c>
      <c r="S62" s="243">
        <f>(1/3)*B62</f>
        <v>571</v>
      </c>
      <c r="T62" s="100">
        <f>(1/2)*E62</f>
        <v>593.5</v>
      </c>
      <c r="U62" s="100">
        <f>(1/2)*H62</f>
        <v>704.5</v>
      </c>
      <c r="V62" s="42">
        <f>SUM(S62:U62)</f>
        <v>1869</v>
      </c>
      <c r="W62" s="167">
        <f>(1/3)*B62</f>
        <v>571</v>
      </c>
      <c r="X62" s="100">
        <f>(1/3)*D62</f>
        <v>462.66666666666663</v>
      </c>
      <c r="Y62" s="100">
        <f>(1/4)*I62</f>
        <v>580.75</v>
      </c>
      <c r="Z62" s="42">
        <f>SUM(W62:Y62)</f>
        <v>1614.4166666666665</v>
      </c>
      <c r="AA62" s="167">
        <f>(1/2)*C62</f>
        <v>472.5</v>
      </c>
      <c r="AB62" s="100">
        <f>(1/3)*D62</f>
        <v>462.66666666666663</v>
      </c>
      <c r="AC62" s="100">
        <f>(1/4)*I62</f>
        <v>580.75</v>
      </c>
      <c r="AD62" s="42">
        <f>SUM(AA62:AC62)</f>
        <v>1515.9166666666665</v>
      </c>
      <c r="AE62" s="243">
        <f>(1/2)*C62</f>
        <v>472.5</v>
      </c>
      <c r="AF62" s="100">
        <f>(1/4)*I62</f>
        <v>580.75</v>
      </c>
      <c r="AG62" s="166">
        <f>SUM(AE62:AF62)</f>
        <v>1053.25</v>
      </c>
      <c r="AH62" s="243">
        <f>(1/4)*I62</f>
        <v>580.75</v>
      </c>
      <c r="AI62" s="38">
        <f>J62</f>
        <v>721</v>
      </c>
      <c r="AJ62" s="100">
        <f>(1/2)*K62</f>
        <v>875.5</v>
      </c>
      <c r="AK62" s="42">
        <f>SUM(AH62:AJ62)</f>
        <v>2177.25</v>
      </c>
      <c r="AL62" s="167">
        <f>(1/4)*C62</f>
        <v>236.25</v>
      </c>
      <c r="AM62" s="38">
        <f>(1/3)*D62</f>
        <v>462.66666666666663</v>
      </c>
      <c r="AN62" s="38">
        <f>(1/2)*K62</f>
        <v>875.5</v>
      </c>
      <c r="AO62" s="42">
        <f>SUM(AL62:AN62)</f>
        <v>1574.4166666666665</v>
      </c>
    </row>
    <row r="63" spans="1:41" x14ac:dyDescent="0.25">
      <c r="A63" s="192" t="s">
        <v>441</v>
      </c>
      <c r="B63" s="35">
        <v>0.13100000000000001</v>
      </c>
      <c r="C63" s="35">
        <v>4.2000000000000003E-2</v>
      </c>
      <c r="D63" s="35">
        <v>0.19700000000000001</v>
      </c>
      <c r="E63" s="35">
        <v>7.6999999999999999E-2</v>
      </c>
      <c r="F63" s="35">
        <v>8.5999999999999993E-2</v>
      </c>
      <c r="G63" s="35">
        <v>5.1999999999999998E-2</v>
      </c>
      <c r="H63" s="35">
        <v>7.6999999999999999E-2</v>
      </c>
      <c r="I63" s="35">
        <v>7.0000000000000007E-2</v>
      </c>
      <c r="J63" s="35">
        <v>8.5999999999999993E-2</v>
      </c>
      <c r="K63" s="35">
        <v>4.2000000000000003E-2</v>
      </c>
      <c r="L63" s="195">
        <f>((B63*$B$62)+(C63*$C$62)+(D63*$D$62)+(E63*$E$62)+(F63*$F$62)+(G63*$G$62)+(H63*$H$62)+(I63*$I$62)+(J63*$J$62)+(K63*$K$62))/$L$62</f>
        <v>8.5355849985519844E-2</v>
      </c>
      <c r="M63" s="241">
        <f>B63</f>
        <v>0.13100000000000001</v>
      </c>
      <c r="N63" s="35">
        <f>E63</f>
        <v>7.6999999999999999E-2</v>
      </c>
      <c r="O63" s="35">
        <f t="shared" si="101"/>
        <v>8.5999999999999993E-2</v>
      </c>
      <c r="P63" s="35">
        <f t="shared" si="101"/>
        <v>5.1999999999999998E-2</v>
      </c>
      <c r="Q63" s="35">
        <f>H63</f>
        <v>7.6999999999999999E-2</v>
      </c>
      <c r="R63" s="238">
        <f>((M63*$M$62)+(N63*$N$62)+(O63*$O$62)+(P63*$P$62)+(Q63*$Q$62))/$R$62</f>
        <v>7.4953581526861435E-2</v>
      </c>
      <c r="S63" s="241">
        <f>B63</f>
        <v>0.13100000000000001</v>
      </c>
      <c r="T63" s="35">
        <f>E63</f>
        <v>7.6999999999999999E-2</v>
      </c>
      <c r="U63" s="35">
        <f>H63</f>
        <v>7.6999999999999999E-2</v>
      </c>
      <c r="V63" s="195">
        <f>((S63*$S$62)+(T63*$T$62)+(U63*$U$62))/$V$62</f>
        <v>9.3497592295345114E-2</v>
      </c>
      <c r="W63" s="256">
        <f>B63</f>
        <v>0.13100000000000001</v>
      </c>
      <c r="X63" s="35">
        <f>D63</f>
        <v>0.19700000000000001</v>
      </c>
      <c r="Y63" s="35">
        <f>I63</f>
        <v>7.0000000000000007E-2</v>
      </c>
      <c r="Z63" s="195">
        <f>((W63*$W$62)+(X63*$X$62)+(Y63*$Y$62))/$Z$62</f>
        <v>0.12797119702678986</v>
      </c>
      <c r="AA63" s="256">
        <f t="shared" ref="AA63:AB66" si="102">C63</f>
        <v>4.2000000000000003E-2</v>
      </c>
      <c r="AB63" s="35">
        <f t="shared" si="102"/>
        <v>0.19700000000000001</v>
      </c>
      <c r="AC63" s="35">
        <f>I63</f>
        <v>7.0000000000000007E-2</v>
      </c>
      <c r="AD63" s="195">
        <f>((AA63*$AA$62)+(AB63*$AB$62)+(AC63*$AC$62))/$AD$62</f>
        <v>0.10003375295475786</v>
      </c>
      <c r="AE63" s="241">
        <f>C63</f>
        <v>4.2000000000000003E-2</v>
      </c>
      <c r="AF63" s="35">
        <f>I63</f>
        <v>7.0000000000000007E-2</v>
      </c>
      <c r="AG63" s="238">
        <f>((AE63*$AE$62)+(AF63*$AF$62))/$AG$62</f>
        <v>5.7438879658200812E-2</v>
      </c>
      <c r="AH63" s="241">
        <f>I63</f>
        <v>7.0000000000000007E-2</v>
      </c>
      <c r="AI63" s="35">
        <f>J63</f>
        <v>8.5999999999999993E-2</v>
      </c>
      <c r="AJ63" s="35">
        <f>K63</f>
        <v>4.2000000000000003E-2</v>
      </c>
      <c r="AK63" s="195">
        <f>((AH63*$AH$62)+(AI63*$AI$62)+(AJ63*$AJ$62))/$AK$62</f>
        <v>6.4039269720978301E-2</v>
      </c>
      <c r="AL63" s="256">
        <f t="shared" ref="AL63:AM66" si="103">C63</f>
        <v>4.2000000000000003E-2</v>
      </c>
      <c r="AM63" s="35">
        <f t="shared" si="103"/>
        <v>0.19700000000000001</v>
      </c>
      <c r="AN63" s="35">
        <f>K63</f>
        <v>4.2000000000000003E-2</v>
      </c>
      <c r="AO63" s="195">
        <f>((AL63*$AL$62)+(AM63*$AM$62)+(AN63*$AN$62))/$AO$62</f>
        <v>8.7549145186047742E-2</v>
      </c>
    </row>
    <row r="64" spans="1:41" x14ac:dyDescent="0.25">
      <c r="A64" s="192" t="s">
        <v>442</v>
      </c>
      <c r="B64" s="35">
        <v>0.435</v>
      </c>
      <c r="C64" s="35">
        <v>0.34200000000000003</v>
      </c>
      <c r="D64" s="35">
        <v>0.28000000000000003</v>
      </c>
      <c r="E64" s="35">
        <v>0.35599999999999998</v>
      </c>
      <c r="F64" s="35">
        <v>0.46899999999999997</v>
      </c>
      <c r="G64" s="35">
        <v>0.35099999999999998</v>
      </c>
      <c r="H64" s="35">
        <v>0.24399999999999999</v>
      </c>
      <c r="I64" s="35">
        <v>0.312</v>
      </c>
      <c r="J64" s="35">
        <v>0.308</v>
      </c>
      <c r="K64" s="35">
        <v>0.503</v>
      </c>
      <c r="L64" s="195">
        <f t="shared" ref="L64:L66" si="104">((B64*$B$62)+(C64*$C$62)+(D64*$D$62)+(E64*$E$62)+(F64*$F$62)+(G64*$G$62)+(H64*$H$62)+(I64*$I$62)+(J64*$J$62)+(K64*$K$62))/$L$62</f>
        <v>0.3586364755285259</v>
      </c>
      <c r="M64" s="241">
        <f>B64</f>
        <v>0.435</v>
      </c>
      <c r="N64" s="35">
        <f>E64</f>
        <v>0.35599999999999998</v>
      </c>
      <c r="O64" s="35">
        <f t="shared" si="101"/>
        <v>0.46899999999999997</v>
      </c>
      <c r="P64" s="35">
        <f t="shared" si="101"/>
        <v>0.35099999999999998</v>
      </c>
      <c r="Q64" s="35">
        <f>H64</f>
        <v>0.24399999999999999</v>
      </c>
      <c r="R64" s="238">
        <f t="shared" ref="R64:R66" si="105">((M64*$M$62)+(N64*$N$62)+(O64*$O$62)+(P64*$P$62)+(Q64*$Q$62))/$R$62</f>
        <v>0.36147643732327994</v>
      </c>
      <c r="S64" s="241">
        <f>B64</f>
        <v>0.435</v>
      </c>
      <c r="T64" s="35">
        <f>E64</f>
        <v>0.35599999999999998</v>
      </c>
      <c r="U64" s="35">
        <f>H64</f>
        <v>0.24399999999999999</v>
      </c>
      <c r="V64" s="195">
        <f t="shared" ref="V64:V66" si="106">((S64*$S$62)+(T64*$T$62)+(U64*$U$62))/$V$62</f>
        <v>0.33791813804173354</v>
      </c>
      <c r="W64" s="256">
        <f>B64</f>
        <v>0.435</v>
      </c>
      <c r="X64" s="35">
        <f>D64</f>
        <v>0.28000000000000003</v>
      </c>
      <c r="Y64" s="35">
        <f>I64</f>
        <v>0.312</v>
      </c>
      <c r="Z64" s="195">
        <f t="shared" ref="Z64:Z66" si="107">((W64*$W$62)+(X64*$X$62)+(Y64*$Y$62))/$Z$62</f>
        <v>0.3463329375935581</v>
      </c>
      <c r="AA64" s="256">
        <f t="shared" si="102"/>
        <v>0.34200000000000003</v>
      </c>
      <c r="AB64" s="35">
        <f t="shared" si="102"/>
        <v>0.28000000000000003</v>
      </c>
      <c r="AC64" s="35">
        <f>I64</f>
        <v>0.312</v>
      </c>
      <c r="AD64" s="195">
        <f t="shared" ref="AD64:AD66" si="108">((AA64*$AA$62)+(AB64*$AB$62)+(AC64*$AC$62))/$AD$62</f>
        <v>0.31158418998405807</v>
      </c>
      <c r="AE64" s="241">
        <f>C64</f>
        <v>0.34200000000000003</v>
      </c>
      <c r="AF64" s="35">
        <f>I64</f>
        <v>0.312</v>
      </c>
      <c r="AG64" s="238">
        <f>((AE64*$AE$62)+(AF64*$AF$62))/$AG$62</f>
        <v>0.32545834322335626</v>
      </c>
      <c r="AH64" s="241">
        <f>I64</f>
        <v>0.312</v>
      </c>
      <c r="AI64" s="35">
        <f>J64</f>
        <v>0.308</v>
      </c>
      <c r="AJ64" s="35">
        <f>K64</f>
        <v>0.503</v>
      </c>
      <c r="AK64" s="195">
        <f t="shared" ref="AK64:AK66" si="109">((AH64*$AH$62)+(AI64*$AI$62)+(AJ64*$AJ$62))/$AK$62</f>
        <v>0.3874789298426915</v>
      </c>
      <c r="AL64" s="256">
        <f t="shared" si="103"/>
        <v>0.34200000000000003</v>
      </c>
      <c r="AM64" s="35">
        <f t="shared" si="103"/>
        <v>0.28000000000000003</v>
      </c>
      <c r="AN64" s="35">
        <f>K64</f>
        <v>0.503</v>
      </c>
      <c r="AO64" s="195">
        <f t="shared" ref="AO64:AO66" si="110">((AL64*$AL$62)+(AM64*$AM$62)+(AN64*$AN$62))/$AO$62</f>
        <v>0.41330905626422493</v>
      </c>
    </row>
    <row r="65" spans="1:41" x14ac:dyDescent="0.25">
      <c r="A65" s="192" t="s">
        <v>443</v>
      </c>
      <c r="B65" s="35">
        <v>0.32</v>
      </c>
      <c r="C65" s="35">
        <v>0.41499999999999998</v>
      </c>
      <c r="D65" s="35">
        <v>0.22</v>
      </c>
      <c r="E65" s="35">
        <v>0.29799999999999999</v>
      </c>
      <c r="F65" s="35">
        <v>0.123</v>
      </c>
      <c r="G65" s="35">
        <v>0.46</v>
      </c>
      <c r="H65" s="35">
        <v>0.26300000000000001</v>
      </c>
      <c r="I65" s="35">
        <v>0.23599999999999999</v>
      </c>
      <c r="J65" s="35">
        <v>0.438</v>
      </c>
      <c r="K65" s="35">
        <v>0.35399999999999998</v>
      </c>
      <c r="L65" s="195">
        <f t="shared" si="104"/>
        <v>0.31491167101071532</v>
      </c>
      <c r="M65" s="241">
        <f>B65</f>
        <v>0.32</v>
      </c>
      <c r="N65" s="35">
        <f>E65</f>
        <v>0.29799999999999999</v>
      </c>
      <c r="O65" s="35">
        <f t="shared" si="101"/>
        <v>0.123</v>
      </c>
      <c r="P65" s="35">
        <f t="shared" si="101"/>
        <v>0.46</v>
      </c>
      <c r="Q65" s="35">
        <f>H65</f>
        <v>0.26300000000000001</v>
      </c>
      <c r="R65" s="238">
        <f t="shared" si="105"/>
        <v>0.33943414231856739</v>
      </c>
      <c r="S65" s="241">
        <f>B65</f>
        <v>0.32</v>
      </c>
      <c r="T65" s="35">
        <f>E65</f>
        <v>0.29799999999999999</v>
      </c>
      <c r="U65" s="35">
        <f>H65</f>
        <v>0.26300000000000001</v>
      </c>
      <c r="V65" s="195">
        <f t="shared" si="106"/>
        <v>0.29152835741037986</v>
      </c>
      <c r="W65" s="256">
        <f>B65</f>
        <v>0.32</v>
      </c>
      <c r="X65" s="35">
        <f>D65</f>
        <v>0.22</v>
      </c>
      <c r="Y65" s="35">
        <f>I65</f>
        <v>0.23599999999999999</v>
      </c>
      <c r="Z65" s="195">
        <f>((W65*$W$62)+(X65*$X$62)+(Y65*$Y$62))/$Z$62</f>
        <v>0.26112445155628972</v>
      </c>
      <c r="AA65" s="256">
        <f t="shared" si="102"/>
        <v>0.41499999999999998</v>
      </c>
      <c r="AB65" s="35">
        <f t="shared" si="102"/>
        <v>0.22</v>
      </c>
      <c r="AC65" s="35">
        <f>I65</f>
        <v>0.23599999999999999</v>
      </c>
      <c r="AD65" s="195">
        <f>((AA65*$AA$62)+(AB65*$AB$62)+(AC65*$AC$62))/$AD$62</f>
        <v>0.2869096806112913</v>
      </c>
      <c r="AE65" s="241">
        <f>C65</f>
        <v>0.41499999999999998</v>
      </c>
      <c r="AF65" s="35">
        <f>I65</f>
        <v>0.23599999999999999</v>
      </c>
      <c r="AG65" s="238">
        <f>((AE65*$AE$62)+(AF65*$AF$62))/$AG$62</f>
        <v>0.3163014478993591</v>
      </c>
      <c r="AH65" s="241">
        <f>I65</f>
        <v>0.23599999999999999</v>
      </c>
      <c r="AI65" s="35">
        <f>J65</f>
        <v>0.438</v>
      </c>
      <c r="AJ65" s="35">
        <f>K65</f>
        <v>0.35399999999999998</v>
      </c>
      <c r="AK65" s="195">
        <f t="shared" si="109"/>
        <v>0.3503419451142496</v>
      </c>
      <c r="AL65" s="256">
        <f t="shared" si="103"/>
        <v>0.41499999999999998</v>
      </c>
      <c r="AM65" s="35">
        <f t="shared" si="103"/>
        <v>0.22</v>
      </c>
      <c r="AN65" s="35">
        <f>K65</f>
        <v>0.35399999999999998</v>
      </c>
      <c r="AO65" s="195">
        <f t="shared" si="110"/>
        <v>0.32377541946752764</v>
      </c>
    </row>
    <row r="66" spans="1:41" ht="15.75" thickBot="1" x14ac:dyDescent="0.3">
      <c r="A66" s="193" t="s">
        <v>444</v>
      </c>
      <c r="B66" s="196">
        <v>0.114</v>
      </c>
      <c r="C66" s="196">
        <v>0.20100000000000001</v>
      </c>
      <c r="D66" s="196">
        <v>0.30299999999999999</v>
      </c>
      <c r="E66" s="196">
        <v>0.26900000000000002</v>
      </c>
      <c r="F66" s="196">
        <v>0.32200000000000001</v>
      </c>
      <c r="G66" s="196">
        <v>0.13700000000000001</v>
      </c>
      <c r="H66" s="196">
        <v>0.41699999999999998</v>
      </c>
      <c r="I66" s="196">
        <v>0.38200000000000001</v>
      </c>
      <c r="J66" s="196">
        <v>0.16800000000000001</v>
      </c>
      <c r="K66" s="196">
        <v>0.10199999999999999</v>
      </c>
      <c r="L66" s="197">
        <f t="shared" si="104"/>
        <v>0.24132479003764842</v>
      </c>
      <c r="M66" s="242">
        <f>B66</f>
        <v>0.114</v>
      </c>
      <c r="N66" s="196">
        <f>E66</f>
        <v>0.26900000000000002</v>
      </c>
      <c r="O66" s="196">
        <f t="shared" si="101"/>
        <v>0.32200000000000001</v>
      </c>
      <c r="P66" s="196">
        <f t="shared" si="101"/>
        <v>0.13700000000000001</v>
      </c>
      <c r="Q66" s="196">
        <f>H66</f>
        <v>0.41699999999999998</v>
      </c>
      <c r="R66" s="239">
        <f t="shared" si="105"/>
        <v>0.22430183788878413</v>
      </c>
      <c r="S66" s="242">
        <f>B66</f>
        <v>0.114</v>
      </c>
      <c r="T66" s="196">
        <f>E66</f>
        <v>0.26900000000000002</v>
      </c>
      <c r="U66" s="196">
        <f>H66</f>
        <v>0.41699999999999998</v>
      </c>
      <c r="V66" s="197">
        <f t="shared" si="106"/>
        <v>0.27743285179240235</v>
      </c>
      <c r="W66" s="259">
        <f>B66</f>
        <v>0.114</v>
      </c>
      <c r="X66" s="196">
        <f>D66</f>
        <v>0.30299999999999999</v>
      </c>
      <c r="Y66" s="196">
        <f>I66</f>
        <v>0.38200000000000001</v>
      </c>
      <c r="Z66" s="197">
        <f t="shared" si="107"/>
        <v>0.26457141382336241</v>
      </c>
      <c r="AA66" s="259">
        <f t="shared" si="102"/>
        <v>0.20100000000000001</v>
      </c>
      <c r="AB66" s="196">
        <f t="shared" si="102"/>
        <v>0.30299999999999999</v>
      </c>
      <c r="AC66" s="196">
        <f>I66</f>
        <v>0.38200000000000001</v>
      </c>
      <c r="AD66" s="197">
        <f t="shared" si="108"/>
        <v>0.30147237644989283</v>
      </c>
      <c r="AE66" s="242">
        <f>C66</f>
        <v>0.20100000000000001</v>
      </c>
      <c r="AF66" s="196">
        <f>I66</f>
        <v>0.38200000000000001</v>
      </c>
      <c r="AG66" s="239">
        <f>((AE66*$AE$62)+(AF66*$AF$62))/$AG$62</f>
        <v>0.30080132921908381</v>
      </c>
      <c r="AH66" s="242">
        <f>I66</f>
        <v>0.38200000000000001</v>
      </c>
      <c r="AI66" s="196">
        <f>J66</f>
        <v>0.16800000000000001</v>
      </c>
      <c r="AJ66" s="196">
        <f>K66</f>
        <v>0.10199999999999999</v>
      </c>
      <c r="AK66" s="197">
        <f t="shared" si="109"/>
        <v>0.19854196807899874</v>
      </c>
      <c r="AL66" s="259">
        <f t="shared" si="103"/>
        <v>0.20100000000000001</v>
      </c>
      <c r="AM66" s="196">
        <f t="shared" si="103"/>
        <v>0.30299999999999999</v>
      </c>
      <c r="AN66" s="196">
        <f>K66</f>
        <v>0.10199999999999999</v>
      </c>
      <c r="AO66" s="197">
        <f t="shared" si="110"/>
        <v>0.17592245805324722</v>
      </c>
    </row>
  </sheetData>
  <sheetProtection password="891C" sheet="1" objects="1" scenarios="1"/>
  <mergeCells count="8">
    <mergeCell ref="AH1:AK1"/>
    <mergeCell ref="AL1:AO1"/>
    <mergeCell ref="A1:L1"/>
    <mergeCell ref="M1:R1"/>
    <mergeCell ref="S1:V1"/>
    <mergeCell ref="W1:Z1"/>
    <mergeCell ref="AA1:AD1"/>
    <mergeCell ref="AE1:AG1"/>
  </mergeCells>
  <pageMargins left="0.7" right="0.7" top="0.75" bottom="0.75" header="0.3" footer="0.3"/>
  <pageSetup orientation="portrait" verticalDpi="0" r:id="rId1"/>
  <ignoredErrors>
    <ignoredError sqref="L35:V35 W35:AO35"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6"/>
  <sheetViews>
    <sheetView zoomScale="70" zoomScaleNormal="70" workbookViewId="0">
      <selection activeCell="M35" sqref="M35:N35"/>
    </sheetView>
  </sheetViews>
  <sheetFormatPr defaultRowHeight="15" x14ac:dyDescent="0.25"/>
  <cols>
    <col min="1" max="1" width="38" style="233" customWidth="1"/>
    <col min="2" max="72" width="14.7109375" style="4" customWidth="1"/>
    <col min="73" max="16384" width="9.140625" style="4"/>
  </cols>
  <sheetData>
    <row r="1" spans="1:72" x14ac:dyDescent="0.25">
      <c r="A1" s="749" t="s">
        <v>446</v>
      </c>
      <c r="B1" s="747"/>
      <c r="C1" s="747"/>
      <c r="D1" s="747"/>
      <c r="E1" s="747"/>
      <c r="F1" s="747"/>
      <c r="G1" s="747"/>
      <c r="H1" s="747"/>
      <c r="I1" s="747"/>
      <c r="J1" s="747"/>
      <c r="K1" s="747"/>
      <c r="L1" s="747"/>
      <c r="M1" s="747"/>
      <c r="N1" s="747"/>
      <c r="O1" s="747"/>
      <c r="P1" s="747"/>
      <c r="Q1" s="747"/>
      <c r="R1" s="747"/>
      <c r="S1" s="747"/>
      <c r="T1" s="747"/>
      <c r="U1" s="747"/>
      <c r="V1" s="747"/>
      <c r="W1" s="748"/>
      <c r="X1" s="749" t="s">
        <v>495</v>
      </c>
      <c r="Y1" s="747"/>
      <c r="Z1" s="747"/>
      <c r="AA1" s="747"/>
      <c r="AB1" s="747"/>
      <c r="AC1" s="747"/>
      <c r="AD1" s="747"/>
      <c r="AE1" s="747"/>
      <c r="AF1" s="747"/>
      <c r="AG1" s="747"/>
      <c r="AH1" s="747"/>
      <c r="AI1" s="747"/>
      <c r="AJ1" s="668" t="s">
        <v>496</v>
      </c>
      <c r="AK1" s="669"/>
      <c r="AL1" s="669"/>
      <c r="AM1" s="669"/>
      <c r="AN1" s="669"/>
      <c r="AO1" s="669"/>
      <c r="AP1" s="670"/>
      <c r="AQ1" s="750" t="s">
        <v>497</v>
      </c>
      <c r="AR1" s="669"/>
      <c r="AS1" s="669"/>
      <c r="AT1" s="669"/>
      <c r="AU1" s="669"/>
      <c r="AV1" s="670"/>
      <c r="AW1" s="747" t="s">
        <v>498</v>
      </c>
      <c r="AX1" s="747"/>
      <c r="AY1" s="747"/>
      <c r="AZ1" s="747"/>
      <c r="BA1" s="747"/>
      <c r="BB1" s="748"/>
      <c r="BC1" s="749" t="s">
        <v>499</v>
      </c>
      <c r="BD1" s="747"/>
      <c r="BE1" s="747"/>
      <c r="BF1" s="747"/>
      <c r="BG1" s="749" t="s">
        <v>500</v>
      </c>
      <c r="BH1" s="747"/>
      <c r="BI1" s="747"/>
      <c r="BJ1" s="747"/>
      <c r="BK1" s="747"/>
      <c r="BL1" s="747"/>
      <c r="BM1" s="748"/>
      <c r="BN1" s="747" t="s">
        <v>501</v>
      </c>
      <c r="BO1" s="747"/>
      <c r="BP1" s="747"/>
      <c r="BQ1" s="747"/>
      <c r="BR1" s="748"/>
    </row>
    <row r="2" spans="1:72" ht="33" customHeight="1" x14ac:dyDescent="0.25">
      <c r="A2" s="232"/>
      <c r="B2" s="95">
        <v>1.01</v>
      </c>
      <c r="C2" s="95">
        <v>1.02</v>
      </c>
      <c r="D2" s="95">
        <v>2</v>
      </c>
      <c r="E2" s="95">
        <v>3</v>
      </c>
      <c r="F2" s="95">
        <v>4</v>
      </c>
      <c r="G2" s="95">
        <v>5</v>
      </c>
      <c r="H2" s="95">
        <v>6</v>
      </c>
      <c r="I2" s="95">
        <v>7</v>
      </c>
      <c r="J2" s="95">
        <v>8.01</v>
      </c>
      <c r="K2" s="95">
        <v>8.02</v>
      </c>
      <c r="L2" s="95">
        <v>9</v>
      </c>
      <c r="M2" s="95">
        <v>10</v>
      </c>
      <c r="N2" s="95">
        <v>11</v>
      </c>
      <c r="O2" s="95">
        <v>13</v>
      </c>
      <c r="P2" s="95">
        <v>14</v>
      </c>
      <c r="Q2" s="95">
        <v>15</v>
      </c>
      <c r="R2" s="101">
        <v>16</v>
      </c>
      <c r="S2" s="95">
        <v>18</v>
      </c>
      <c r="T2" s="95">
        <v>19</v>
      </c>
      <c r="U2" s="95">
        <v>20.010000000000002</v>
      </c>
      <c r="V2" s="235">
        <v>22</v>
      </c>
      <c r="W2" s="45" t="s">
        <v>0</v>
      </c>
      <c r="X2" s="231" t="s">
        <v>520</v>
      </c>
      <c r="Y2" s="95" t="s">
        <v>528</v>
      </c>
      <c r="Z2" s="95">
        <v>4</v>
      </c>
      <c r="AA2" s="95">
        <v>5</v>
      </c>
      <c r="AB2" s="95">
        <v>6</v>
      </c>
      <c r="AC2" s="95">
        <v>7</v>
      </c>
      <c r="AD2" s="95" t="s">
        <v>530</v>
      </c>
      <c r="AE2" s="95" t="s">
        <v>529</v>
      </c>
      <c r="AF2" s="95" t="s">
        <v>531</v>
      </c>
      <c r="AG2" s="95">
        <v>15</v>
      </c>
      <c r="AH2" s="101">
        <v>16</v>
      </c>
      <c r="AI2" s="235" t="s">
        <v>519</v>
      </c>
      <c r="AJ2" s="231" t="s">
        <v>520</v>
      </c>
      <c r="AK2" s="95" t="s">
        <v>528</v>
      </c>
      <c r="AL2" s="95" t="s">
        <v>530</v>
      </c>
      <c r="AM2" s="95" t="s">
        <v>532</v>
      </c>
      <c r="AN2" s="95" t="s">
        <v>531</v>
      </c>
      <c r="AO2" s="95" t="s">
        <v>533</v>
      </c>
      <c r="AP2" s="45" t="s">
        <v>521</v>
      </c>
      <c r="AQ2" s="252" t="s">
        <v>520</v>
      </c>
      <c r="AR2" s="95" t="s">
        <v>523</v>
      </c>
      <c r="AS2" s="95" t="s">
        <v>534</v>
      </c>
      <c r="AT2" s="95" t="s">
        <v>535</v>
      </c>
      <c r="AU2" s="95" t="s">
        <v>533</v>
      </c>
      <c r="AV2" s="45" t="s">
        <v>522</v>
      </c>
      <c r="AW2" s="252" t="s">
        <v>525</v>
      </c>
      <c r="AX2" s="95" t="s">
        <v>523</v>
      </c>
      <c r="AY2" s="95" t="s">
        <v>534</v>
      </c>
      <c r="AZ2" s="235" t="s">
        <v>535</v>
      </c>
      <c r="BA2" s="235" t="s">
        <v>536</v>
      </c>
      <c r="BB2" s="45" t="s">
        <v>524</v>
      </c>
      <c r="BC2" s="231" t="s">
        <v>537</v>
      </c>
      <c r="BD2" s="95" t="s">
        <v>534</v>
      </c>
      <c r="BE2" s="235" t="s">
        <v>536</v>
      </c>
      <c r="BF2" s="235" t="s">
        <v>526</v>
      </c>
      <c r="BG2" s="231" t="s">
        <v>538</v>
      </c>
      <c r="BH2" s="95">
        <v>10</v>
      </c>
      <c r="BI2" s="95" t="s">
        <v>539</v>
      </c>
      <c r="BJ2" s="235" t="s">
        <v>536</v>
      </c>
      <c r="BK2" s="235">
        <v>20.010000000000002</v>
      </c>
      <c r="BL2" s="235">
        <v>22</v>
      </c>
      <c r="BM2" s="45" t="s">
        <v>527</v>
      </c>
      <c r="BN2" s="252" t="s">
        <v>540</v>
      </c>
      <c r="BO2" s="95" t="s">
        <v>523</v>
      </c>
      <c r="BP2" s="95" t="s">
        <v>539</v>
      </c>
      <c r="BQ2" s="235" t="s">
        <v>535</v>
      </c>
      <c r="BR2" s="45" t="s">
        <v>524</v>
      </c>
      <c r="BT2" s="234"/>
    </row>
    <row r="3" spans="1:72" x14ac:dyDescent="0.25">
      <c r="A3" s="232" t="s">
        <v>1</v>
      </c>
      <c r="B3" s="38">
        <v>3169</v>
      </c>
      <c r="C3" s="38">
        <v>1908</v>
      </c>
      <c r="D3" s="38">
        <v>3541</v>
      </c>
      <c r="E3" s="38">
        <v>3309</v>
      </c>
      <c r="F3" s="38">
        <v>1658</v>
      </c>
      <c r="G3" s="38">
        <v>3336</v>
      </c>
      <c r="H3" s="38">
        <v>4312</v>
      </c>
      <c r="I3" s="38">
        <v>2398</v>
      </c>
      <c r="J3" s="38">
        <v>4255</v>
      </c>
      <c r="K3" s="38">
        <v>4444</v>
      </c>
      <c r="L3" s="38">
        <v>5462</v>
      </c>
      <c r="M3" s="38">
        <v>1540</v>
      </c>
      <c r="N3" s="38">
        <v>4593</v>
      </c>
      <c r="O3" s="38">
        <v>2244</v>
      </c>
      <c r="P3" s="38">
        <v>2444</v>
      </c>
      <c r="Q3" s="38">
        <v>2068</v>
      </c>
      <c r="R3" s="50">
        <v>2500</v>
      </c>
      <c r="S3" s="38">
        <v>2856</v>
      </c>
      <c r="T3" s="38">
        <v>5109</v>
      </c>
      <c r="U3" s="38">
        <v>4885</v>
      </c>
      <c r="V3" s="166">
        <v>1859</v>
      </c>
      <c r="W3" s="42">
        <f>SUM(B3:V3)</f>
        <v>67890</v>
      </c>
      <c r="X3" s="243">
        <f>(1/3)*B3</f>
        <v>1056.3333333333333</v>
      </c>
      <c r="Y3" s="38">
        <f>(1/2)*E3</f>
        <v>1654.5</v>
      </c>
      <c r="Z3" s="38">
        <f>F3</f>
        <v>1658</v>
      </c>
      <c r="AA3" s="38">
        <f>G3</f>
        <v>3336</v>
      </c>
      <c r="AB3" s="38">
        <f>H3</f>
        <v>4312</v>
      </c>
      <c r="AC3" s="38">
        <f>I3</f>
        <v>2398</v>
      </c>
      <c r="AD3" s="38">
        <f>(1/2)*J3</f>
        <v>2127.5</v>
      </c>
      <c r="AE3" s="38">
        <f>(1/2)*K3</f>
        <v>2222</v>
      </c>
      <c r="AF3" s="38">
        <f>(1/2)*P3</f>
        <v>1222</v>
      </c>
      <c r="AG3" s="38">
        <f>Q3</f>
        <v>2068</v>
      </c>
      <c r="AH3" s="50">
        <f>R3</f>
        <v>2500</v>
      </c>
      <c r="AI3" s="166">
        <f t="shared" ref="AI3:AI36" si="0">SUM(X3:AH3)</f>
        <v>24554.333333333332</v>
      </c>
      <c r="AJ3" s="243">
        <f>(1/3)*B3</f>
        <v>1056.3333333333333</v>
      </c>
      <c r="AK3" s="38">
        <f>(1/2)*E3</f>
        <v>1654.5</v>
      </c>
      <c r="AL3" s="38">
        <f>(1/2)*J3</f>
        <v>2127.5</v>
      </c>
      <c r="AM3" s="38">
        <f>(1/2)*K3</f>
        <v>2222</v>
      </c>
      <c r="AN3" s="38">
        <f>(1/2)*P3</f>
        <v>1222</v>
      </c>
      <c r="AO3" s="38">
        <f>(1/2)*S3</f>
        <v>1428</v>
      </c>
      <c r="AP3" s="42">
        <f>SUM(AJ3:AO3)</f>
        <v>9710.3333333333321</v>
      </c>
      <c r="AQ3" s="167">
        <f t="shared" ref="AQ3:AQ36" si="1">(1/3)*B3</f>
        <v>1056.3333333333333</v>
      </c>
      <c r="AR3" s="38">
        <f t="shared" ref="AR3:AR36" si="2">(1/3)*D3</f>
        <v>1180.3333333333333</v>
      </c>
      <c r="AS3" s="38">
        <f>(1/4)*L3</f>
        <v>1365.5</v>
      </c>
      <c r="AT3" s="38">
        <f>(1/3)*O3</f>
        <v>748</v>
      </c>
      <c r="AU3" s="38">
        <f>(1/2)*S3</f>
        <v>1428</v>
      </c>
      <c r="AV3" s="42">
        <f>SUM(AQ3:AU3)</f>
        <v>5778.1666666666661</v>
      </c>
      <c r="AW3" s="167">
        <f t="shared" ref="AW3:AW36" si="3">(1/2)*C3</f>
        <v>954</v>
      </c>
      <c r="AX3" s="38">
        <f t="shared" ref="AX3:AX36" si="4">(1/3)*D3</f>
        <v>1180.3333333333333</v>
      </c>
      <c r="AY3" s="38">
        <f>(1/4)*L3</f>
        <v>1365.5</v>
      </c>
      <c r="AZ3" s="166">
        <f>(1/3)*O3</f>
        <v>748</v>
      </c>
      <c r="BA3" s="166">
        <f>(1/3)*T3</f>
        <v>1703</v>
      </c>
      <c r="BB3" s="42">
        <f>SUM(AW3:BA3)</f>
        <v>5950.833333333333</v>
      </c>
      <c r="BC3" s="243">
        <f>(1/2)*C3</f>
        <v>954</v>
      </c>
      <c r="BD3" s="38">
        <f>(1/4)*L3</f>
        <v>1365.5</v>
      </c>
      <c r="BE3" s="166">
        <f>(1/3)*T3</f>
        <v>1703</v>
      </c>
      <c r="BF3" s="166">
        <f>SUM(BC3:BE3)</f>
        <v>4022.5</v>
      </c>
      <c r="BG3" s="243">
        <f>(1/4)*L3</f>
        <v>1365.5</v>
      </c>
      <c r="BH3" s="38">
        <f t="shared" ref="BH3:BH36" si="5">M3</f>
        <v>1540</v>
      </c>
      <c r="BI3" s="38">
        <f>(1/2)*N3</f>
        <v>2296.5</v>
      </c>
      <c r="BJ3" s="166">
        <f>(1/3)*T3</f>
        <v>1703</v>
      </c>
      <c r="BK3" s="166">
        <f>U3</f>
        <v>4885</v>
      </c>
      <c r="BL3" s="166">
        <f>V3</f>
        <v>1859</v>
      </c>
      <c r="BM3" s="42">
        <f>SUM(BG3:BL3)</f>
        <v>13649</v>
      </c>
      <c r="BN3" s="167">
        <f>(1/4)*C3</f>
        <v>477</v>
      </c>
      <c r="BO3" s="38">
        <f t="shared" ref="BO3:BO36" si="6">(1/3)*D3</f>
        <v>1180.3333333333333</v>
      </c>
      <c r="BP3" s="38">
        <f>(1/2)*N3</f>
        <v>2296.5</v>
      </c>
      <c r="BQ3" s="166">
        <f>(1/3)*O3</f>
        <v>748</v>
      </c>
      <c r="BR3" s="42">
        <f>SUM(BN3:BQ3)</f>
        <v>4701.833333333333</v>
      </c>
      <c r="BT3" s="6"/>
    </row>
    <row r="4" spans="1:72" x14ac:dyDescent="0.25">
      <c r="A4" s="232" t="s">
        <v>2</v>
      </c>
      <c r="B4" s="38">
        <v>117.253</v>
      </c>
      <c r="C4" s="38">
        <v>38.160000000000004</v>
      </c>
      <c r="D4" s="38">
        <v>152.26299999999998</v>
      </c>
      <c r="E4" s="38">
        <v>271.33800000000002</v>
      </c>
      <c r="F4" s="38">
        <v>129.32400000000001</v>
      </c>
      <c r="G4" s="38">
        <v>93.408000000000001</v>
      </c>
      <c r="H4" s="38">
        <v>194.04</v>
      </c>
      <c r="I4" s="38">
        <v>95.92</v>
      </c>
      <c r="J4" s="38">
        <v>8.51</v>
      </c>
      <c r="K4" s="38">
        <v>0</v>
      </c>
      <c r="L4" s="38">
        <v>120.16399999999999</v>
      </c>
      <c r="M4" s="38">
        <v>35.42</v>
      </c>
      <c r="N4" s="38">
        <v>463.89300000000003</v>
      </c>
      <c r="O4" s="38">
        <v>179.52</v>
      </c>
      <c r="P4" s="38">
        <v>114.86799999999999</v>
      </c>
      <c r="Q4" s="38">
        <v>159.23599999999999</v>
      </c>
      <c r="R4" s="50">
        <v>307.5</v>
      </c>
      <c r="S4" s="38">
        <v>28.560000000000002</v>
      </c>
      <c r="T4" s="38">
        <v>424.04700000000003</v>
      </c>
      <c r="U4" s="38">
        <v>527.58000000000004</v>
      </c>
      <c r="V4" s="166">
        <v>107.822</v>
      </c>
      <c r="W4" s="42">
        <f t="shared" ref="W4:W36" si="7">SUM(B4:V4)</f>
        <v>3568.826</v>
      </c>
      <c r="X4" s="243">
        <f t="shared" ref="X4:X36" si="8">(1/3)*B4</f>
        <v>39.084333333333333</v>
      </c>
      <c r="Y4" s="38">
        <f t="shared" ref="Y4:Y36" si="9">(1/2)*E4</f>
        <v>135.66900000000001</v>
      </c>
      <c r="Z4" s="38">
        <f t="shared" ref="Z4:Z66" si="10">F4</f>
        <v>129.32400000000001</v>
      </c>
      <c r="AA4" s="38">
        <f t="shared" ref="AA4:AA66" si="11">G4</f>
        <v>93.408000000000001</v>
      </c>
      <c r="AB4" s="38">
        <f t="shared" ref="AB4:AB66" si="12">H4</f>
        <v>194.04</v>
      </c>
      <c r="AC4" s="38">
        <f t="shared" ref="AC4:AC66" si="13">I4</f>
        <v>95.92</v>
      </c>
      <c r="AD4" s="38">
        <f t="shared" ref="AD4:AD36" si="14">(1/2)*J4</f>
        <v>4.2549999999999999</v>
      </c>
      <c r="AE4" s="38">
        <f t="shared" ref="AE4:AE36" si="15">(1/2)*K4</f>
        <v>0</v>
      </c>
      <c r="AF4" s="38">
        <f t="shared" ref="AF4:AF36" si="16">(1/2)*P4</f>
        <v>57.433999999999997</v>
      </c>
      <c r="AG4" s="38">
        <f t="shared" ref="AG4:AG66" si="17">Q4</f>
        <v>159.23599999999999</v>
      </c>
      <c r="AH4" s="50">
        <f t="shared" ref="AH4:AH66" si="18">R4</f>
        <v>307.5</v>
      </c>
      <c r="AI4" s="166">
        <f t="shared" si="0"/>
        <v>1215.8703333333333</v>
      </c>
      <c r="AJ4" s="243">
        <f t="shared" ref="AJ4:AJ36" si="19">(1/3)*B4</f>
        <v>39.084333333333333</v>
      </c>
      <c r="AK4" s="38">
        <f t="shared" ref="AK4:AK36" si="20">(1/2)*E4</f>
        <v>135.66900000000001</v>
      </c>
      <c r="AL4" s="38">
        <f t="shared" ref="AL4:AL36" si="21">(1/2)*J4</f>
        <v>4.2549999999999999</v>
      </c>
      <c r="AM4" s="38">
        <f t="shared" ref="AM4:AM36" si="22">(1/2)*K4</f>
        <v>0</v>
      </c>
      <c r="AN4" s="38">
        <f t="shared" ref="AN4:AN36" si="23">(1/2)*P4</f>
        <v>57.433999999999997</v>
      </c>
      <c r="AO4" s="38">
        <f t="shared" ref="AO4:AO36" si="24">(1/2)*S4</f>
        <v>14.280000000000001</v>
      </c>
      <c r="AP4" s="42">
        <f t="shared" ref="AP4:AP36" si="25">SUM(AJ4:AO4)</f>
        <v>250.72233333333332</v>
      </c>
      <c r="AQ4" s="167">
        <f t="shared" si="1"/>
        <v>39.084333333333333</v>
      </c>
      <c r="AR4" s="38">
        <f t="shared" si="2"/>
        <v>50.754333333333321</v>
      </c>
      <c r="AS4" s="38">
        <f t="shared" ref="AS4:AS36" si="26">(1/4)*L4</f>
        <v>30.040999999999997</v>
      </c>
      <c r="AT4" s="38">
        <f t="shared" ref="AT4:AT36" si="27">(1/3)*O4</f>
        <v>59.84</v>
      </c>
      <c r="AU4" s="38">
        <f t="shared" ref="AU4:AU36" si="28">(1/2)*S4</f>
        <v>14.280000000000001</v>
      </c>
      <c r="AV4" s="42">
        <f t="shared" ref="AV4:AV36" si="29">SUM(AQ4:AU4)</f>
        <v>193.99966666666666</v>
      </c>
      <c r="AW4" s="167">
        <f t="shared" si="3"/>
        <v>19.080000000000002</v>
      </c>
      <c r="AX4" s="38">
        <f t="shared" si="4"/>
        <v>50.754333333333321</v>
      </c>
      <c r="AY4" s="38">
        <f t="shared" ref="AY4:AY36" si="30">(1/4)*L4</f>
        <v>30.040999999999997</v>
      </c>
      <c r="AZ4" s="166">
        <f t="shared" ref="AZ4:AZ36" si="31">(1/3)*O4</f>
        <v>59.84</v>
      </c>
      <c r="BA4" s="166">
        <f t="shared" ref="BA4:BA36" si="32">(1/3)*T4</f>
        <v>141.34899999999999</v>
      </c>
      <c r="BB4" s="42">
        <f t="shared" ref="BB4:BB36" si="33">SUM(AW4:BA4)</f>
        <v>301.06433333333331</v>
      </c>
      <c r="BC4" s="243">
        <f t="shared" ref="BC4:BC36" si="34">(1/2)*C4</f>
        <v>19.080000000000002</v>
      </c>
      <c r="BD4" s="38">
        <f t="shared" ref="BD4:BD36" si="35">(1/4)*L4</f>
        <v>30.040999999999997</v>
      </c>
      <c r="BE4" s="166">
        <f t="shared" ref="BE4:BE36" si="36">(1/3)*T4</f>
        <v>141.34899999999999</v>
      </c>
      <c r="BF4" s="166">
        <f t="shared" ref="BF4:BF36" si="37">SUM(BC4:BE4)</f>
        <v>190.46999999999997</v>
      </c>
      <c r="BG4" s="243">
        <f t="shared" ref="BG4:BG36" si="38">(1/4)*L4</f>
        <v>30.040999999999997</v>
      </c>
      <c r="BH4" s="38">
        <f t="shared" si="5"/>
        <v>35.42</v>
      </c>
      <c r="BI4" s="38">
        <f t="shared" ref="BI4:BI36" si="39">(1/2)*N4</f>
        <v>231.94650000000001</v>
      </c>
      <c r="BJ4" s="166">
        <f t="shared" ref="BJ4:BJ36" si="40">(1/3)*T4</f>
        <v>141.34899999999999</v>
      </c>
      <c r="BK4" s="166">
        <f t="shared" ref="BK4:BK66" si="41">U4</f>
        <v>527.58000000000004</v>
      </c>
      <c r="BL4" s="166">
        <f t="shared" ref="BL4:BL66" si="42">V4</f>
        <v>107.822</v>
      </c>
      <c r="BM4" s="42">
        <f t="shared" ref="BM4:BM36" si="43">SUM(BG4:BL4)</f>
        <v>1074.1585</v>
      </c>
      <c r="BN4" s="167">
        <f t="shared" ref="BN4:BN36" si="44">(1/4)*C4</f>
        <v>9.5400000000000009</v>
      </c>
      <c r="BO4" s="38">
        <f t="shared" si="6"/>
        <v>50.754333333333321</v>
      </c>
      <c r="BP4" s="38">
        <f t="shared" ref="BP4:BP36" si="45">(1/2)*N4</f>
        <v>231.94650000000001</v>
      </c>
      <c r="BQ4" s="166">
        <f t="shared" ref="BQ4:BQ36" si="46">(1/3)*O4</f>
        <v>59.84</v>
      </c>
      <c r="BR4" s="42">
        <f t="shared" ref="BR4:BR36" si="47">SUM(BN4:BQ4)</f>
        <v>352.08083333333332</v>
      </c>
    </row>
    <row r="5" spans="1:72" x14ac:dyDescent="0.25">
      <c r="A5" s="232" t="s">
        <v>3</v>
      </c>
      <c r="B5" s="38">
        <v>57.041999999999994</v>
      </c>
      <c r="C5" s="38">
        <v>36.252000000000002</v>
      </c>
      <c r="D5" s="38">
        <v>46.033000000000001</v>
      </c>
      <c r="E5" s="38">
        <v>208.46700000000001</v>
      </c>
      <c r="F5" s="38">
        <v>195.64399999999998</v>
      </c>
      <c r="G5" s="38">
        <v>126.768</v>
      </c>
      <c r="H5" s="38">
        <v>340.64800000000002</v>
      </c>
      <c r="I5" s="38">
        <v>119.9</v>
      </c>
      <c r="J5" s="38">
        <v>0</v>
      </c>
      <c r="K5" s="38">
        <v>0</v>
      </c>
      <c r="L5" s="38">
        <v>76.468000000000004</v>
      </c>
      <c r="M5" s="38">
        <v>120.12</v>
      </c>
      <c r="N5" s="38">
        <v>220.464</v>
      </c>
      <c r="O5" s="38">
        <v>152.59200000000001</v>
      </c>
      <c r="P5" s="38">
        <v>166.19200000000001</v>
      </c>
      <c r="Q5" s="38">
        <v>117.876</v>
      </c>
      <c r="R5" s="50">
        <v>125</v>
      </c>
      <c r="S5" s="38">
        <v>0</v>
      </c>
      <c r="T5" s="38">
        <v>204.36</v>
      </c>
      <c r="U5" s="38">
        <v>356.60499999999996</v>
      </c>
      <c r="V5" s="166">
        <v>91.091000000000008</v>
      </c>
      <c r="W5" s="42">
        <f t="shared" si="7"/>
        <v>2761.5220000000004</v>
      </c>
      <c r="X5" s="243">
        <f t="shared" si="8"/>
        <v>19.013999999999996</v>
      </c>
      <c r="Y5" s="38">
        <f t="shared" si="9"/>
        <v>104.23350000000001</v>
      </c>
      <c r="Z5" s="38">
        <f t="shared" si="10"/>
        <v>195.64399999999998</v>
      </c>
      <c r="AA5" s="38">
        <f t="shared" si="11"/>
        <v>126.768</v>
      </c>
      <c r="AB5" s="38">
        <f t="shared" si="12"/>
        <v>340.64800000000002</v>
      </c>
      <c r="AC5" s="38">
        <f t="shared" si="13"/>
        <v>119.9</v>
      </c>
      <c r="AD5" s="38">
        <f t="shared" si="14"/>
        <v>0</v>
      </c>
      <c r="AE5" s="38">
        <f t="shared" si="15"/>
        <v>0</v>
      </c>
      <c r="AF5" s="38">
        <f t="shared" si="16"/>
        <v>83.096000000000004</v>
      </c>
      <c r="AG5" s="38">
        <f t="shared" si="17"/>
        <v>117.876</v>
      </c>
      <c r="AH5" s="50">
        <f t="shared" si="18"/>
        <v>125</v>
      </c>
      <c r="AI5" s="166">
        <f t="shared" si="0"/>
        <v>1232.1795</v>
      </c>
      <c r="AJ5" s="243">
        <f t="shared" si="19"/>
        <v>19.013999999999996</v>
      </c>
      <c r="AK5" s="38">
        <f t="shared" si="20"/>
        <v>104.23350000000001</v>
      </c>
      <c r="AL5" s="38">
        <f t="shared" si="21"/>
        <v>0</v>
      </c>
      <c r="AM5" s="38">
        <f t="shared" si="22"/>
        <v>0</v>
      </c>
      <c r="AN5" s="38">
        <f t="shared" si="23"/>
        <v>83.096000000000004</v>
      </c>
      <c r="AO5" s="38">
        <f t="shared" si="24"/>
        <v>0</v>
      </c>
      <c r="AP5" s="42">
        <f t="shared" si="25"/>
        <v>206.34350000000001</v>
      </c>
      <c r="AQ5" s="167">
        <f t="shared" si="1"/>
        <v>19.013999999999996</v>
      </c>
      <c r="AR5" s="38">
        <f t="shared" si="2"/>
        <v>15.344333333333333</v>
      </c>
      <c r="AS5" s="38">
        <f t="shared" si="26"/>
        <v>19.117000000000001</v>
      </c>
      <c r="AT5" s="38">
        <f t="shared" si="27"/>
        <v>50.864000000000004</v>
      </c>
      <c r="AU5" s="38">
        <f t="shared" si="28"/>
        <v>0</v>
      </c>
      <c r="AV5" s="42">
        <f t="shared" si="29"/>
        <v>104.33933333333333</v>
      </c>
      <c r="AW5" s="167">
        <f t="shared" si="3"/>
        <v>18.126000000000001</v>
      </c>
      <c r="AX5" s="38">
        <f t="shared" si="4"/>
        <v>15.344333333333333</v>
      </c>
      <c r="AY5" s="38">
        <f t="shared" si="30"/>
        <v>19.117000000000001</v>
      </c>
      <c r="AZ5" s="166">
        <f t="shared" si="31"/>
        <v>50.864000000000004</v>
      </c>
      <c r="BA5" s="166">
        <f t="shared" si="32"/>
        <v>68.12</v>
      </c>
      <c r="BB5" s="42">
        <f t="shared" si="33"/>
        <v>171.57133333333334</v>
      </c>
      <c r="BC5" s="243">
        <f t="shared" si="34"/>
        <v>18.126000000000001</v>
      </c>
      <c r="BD5" s="38">
        <f t="shared" si="35"/>
        <v>19.117000000000001</v>
      </c>
      <c r="BE5" s="166">
        <f t="shared" si="36"/>
        <v>68.12</v>
      </c>
      <c r="BF5" s="166">
        <f t="shared" si="37"/>
        <v>105.363</v>
      </c>
      <c r="BG5" s="243">
        <f t="shared" si="38"/>
        <v>19.117000000000001</v>
      </c>
      <c r="BH5" s="38">
        <f t="shared" si="5"/>
        <v>120.12</v>
      </c>
      <c r="BI5" s="38">
        <f t="shared" si="39"/>
        <v>110.232</v>
      </c>
      <c r="BJ5" s="166">
        <f t="shared" si="40"/>
        <v>68.12</v>
      </c>
      <c r="BK5" s="166">
        <f t="shared" si="41"/>
        <v>356.60499999999996</v>
      </c>
      <c r="BL5" s="166">
        <f t="shared" si="42"/>
        <v>91.091000000000008</v>
      </c>
      <c r="BM5" s="42">
        <f t="shared" si="43"/>
        <v>765.28499999999997</v>
      </c>
      <c r="BN5" s="167">
        <f t="shared" si="44"/>
        <v>9.0630000000000006</v>
      </c>
      <c r="BO5" s="38">
        <f t="shared" si="6"/>
        <v>15.344333333333333</v>
      </c>
      <c r="BP5" s="38">
        <f t="shared" si="45"/>
        <v>110.232</v>
      </c>
      <c r="BQ5" s="166">
        <f t="shared" si="46"/>
        <v>50.864000000000004</v>
      </c>
      <c r="BR5" s="42">
        <f t="shared" si="47"/>
        <v>185.50333333333333</v>
      </c>
    </row>
    <row r="6" spans="1:72" x14ac:dyDescent="0.25">
      <c r="A6" s="232" t="s">
        <v>4</v>
      </c>
      <c r="B6" s="38">
        <v>117.253</v>
      </c>
      <c r="C6" s="38">
        <v>34.343999999999994</v>
      </c>
      <c r="D6" s="38">
        <v>31.868999999999996</v>
      </c>
      <c r="E6" s="38">
        <v>241.55699999999999</v>
      </c>
      <c r="F6" s="38">
        <v>112.74400000000001</v>
      </c>
      <c r="G6" s="38">
        <v>116.76</v>
      </c>
      <c r="H6" s="38">
        <v>206.976</v>
      </c>
      <c r="I6" s="38">
        <v>62.347999999999999</v>
      </c>
      <c r="J6" s="38">
        <v>0</v>
      </c>
      <c r="K6" s="38">
        <v>0</v>
      </c>
      <c r="L6" s="38">
        <v>92.854000000000013</v>
      </c>
      <c r="M6" s="38">
        <v>141.68</v>
      </c>
      <c r="N6" s="38">
        <v>372.03300000000002</v>
      </c>
      <c r="O6" s="38">
        <v>181.76400000000001</v>
      </c>
      <c r="P6" s="38">
        <v>241.95600000000002</v>
      </c>
      <c r="Q6" s="38">
        <v>70.312000000000012</v>
      </c>
      <c r="R6" s="50">
        <v>122.5</v>
      </c>
      <c r="S6" s="38">
        <v>11.423999999999999</v>
      </c>
      <c r="T6" s="38">
        <v>178.81500000000003</v>
      </c>
      <c r="U6" s="38">
        <v>258.90499999999997</v>
      </c>
      <c r="V6" s="166">
        <v>100.386</v>
      </c>
      <c r="W6" s="42">
        <f t="shared" si="7"/>
        <v>2696.48</v>
      </c>
      <c r="X6" s="243">
        <f t="shared" si="8"/>
        <v>39.084333333333333</v>
      </c>
      <c r="Y6" s="38">
        <f t="shared" si="9"/>
        <v>120.77849999999999</v>
      </c>
      <c r="Z6" s="38">
        <f t="shared" si="10"/>
        <v>112.74400000000001</v>
      </c>
      <c r="AA6" s="38">
        <f t="shared" si="11"/>
        <v>116.76</v>
      </c>
      <c r="AB6" s="38">
        <f t="shared" si="12"/>
        <v>206.976</v>
      </c>
      <c r="AC6" s="38">
        <f t="shared" si="13"/>
        <v>62.347999999999999</v>
      </c>
      <c r="AD6" s="38">
        <f t="shared" si="14"/>
        <v>0</v>
      </c>
      <c r="AE6" s="38">
        <f t="shared" si="15"/>
        <v>0</v>
      </c>
      <c r="AF6" s="38">
        <f t="shared" si="16"/>
        <v>120.97800000000001</v>
      </c>
      <c r="AG6" s="38">
        <f t="shared" si="17"/>
        <v>70.312000000000012</v>
      </c>
      <c r="AH6" s="50">
        <f t="shared" si="18"/>
        <v>122.5</v>
      </c>
      <c r="AI6" s="166">
        <f t="shared" si="0"/>
        <v>972.48083333333341</v>
      </c>
      <c r="AJ6" s="243">
        <f t="shared" si="19"/>
        <v>39.084333333333333</v>
      </c>
      <c r="AK6" s="38">
        <f t="shared" si="20"/>
        <v>120.77849999999999</v>
      </c>
      <c r="AL6" s="38">
        <f t="shared" si="21"/>
        <v>0</v>
      </c>
      <c r="AM6" s="38">
        <f t="shared" si="22"/>
        <v>0</v>
      </c>
      <c r="AN6" s="38">
        <f t="shared" si="23"/>
        <v>120.97800000000001</v>
      </c>
      <c r="AO6" s="38">
        <f t="shared" si="24"/>
        <v>5.7119999999999997</v>
      </c>
      <c r="AP6" s="42">
        <f t="shared" si="25"/>
        <v>286.5528333333333</v>
      </c>
      <c r="AQ6" s="167">
        <f t="shared" si="1"/>
        <v>39.084333333333333</v>
      </c>
      <c r="AR6" s="38">
        <f t="shared" si="2"/>
        <v>10.622999999999998</v>
      </c>
      <c r="AS6" s="38">
        <f t="shared" si="26"/>
        <v>23.213500000000003</v>
      </c>
      <c r="AT6" s="38">
        <f t="shared" si="27"/>
        <v>60.588000000000001</v>
      </c>
      <c r="AU6" s="38">
        <f t="shared" si="28"/>
        <v>5.7119999999999997</v>
      </c>
      <c r="AV6" s="42">
        <f t="shared" si="29"/>
        <v>139.22083333333333</v>
      </c>
      <c r="AW6" s="167">
        <f t="shared" si="3"/>
        <v>17.171999999999997</v>
      </c>
      <c r="AX6" s="38">
        <f t="shared" si="4"/>
        <v>10.622999999999998</v>
      </c>
      <c r="AY6" s="38">
        <f t="shared" si="30"/>
        <v>23.213500000000003</v>
      </c>
      <c r="AZ6" s="166">
        <f t="shared" si="31"/>
        <v>60.588000000000001</v>
      </c>
      <c r="BA6" s="166">
        <f t="shared" si="32"/>
        <v>59.605000000000004</v>
      </c>
      <c r="BB6" s="42">
        <f t="shared" si="33"/>
        <v>171.20150000000001</v>
      </c>
      <c r="BC6" s="243">
        <f t="shared" si="34"/>
        <v>17.171999999999997</v>
      </c>
      <c r="BD6" s="38">
        <f t="shared" si="35"/>
        <v>23.213500000000003</v>
      </c>
      <c r="BE6" s="166">
        <f t="shared" si="36"/>
        <v>59.605000000000004</v>
      </c>
      <c r="BF6" s="166">
        <f t="shared" si="37"/>
        <v>99.990499999999997</v>
      </c>
      <c r="BG6" s="243">
        <f t="shared" si="38"/>
        <v>23.213500000000003</v>
      </c>
      <c r="BH6" s="38">
        <f t="shared" si="5"/>
        <v>141.68</v>
      </c>
      <c r="BI6" s="38">
        <f t="shared" si="39"/>
        <v>186.01650000000001</v>
      </c>
      <c r="BJ6" s="166">
        <f t="shared" si="40"/>
        <v>59.605000000000004</v>
      </c>
      <c r="BK6" s="166">
        <f t="shared" si="41"/>
        <v>258.90499999999997</v>
      </c>
      <c r="BL6" s="166">
        <f t="shared" si="42"/>
        <v>100.386</v>
      </c>
      <c r="BM6" s="42">
        <f t="shared" si="43"/>
        <v>769.80600000000004</v>
      </c>
      <c r="BN6" s="167">
        <f t="shared" si="44"/>
        <v>8.5859999999999985</v>
      </c>
      <c r="BO6" s="38">
        <f t="shared" si="6"/>
        <v>10.622999999999998</v>
      </c>
      <c r="BP6" s="38">
        <f t="shared" si="45"/>
        <v>186.01650000000001</v>
      </c>
      <c r="BQ6" s="166">
        <f t="shared" si="46"/>
        <v>60.588000000000001</v>
      </c>
      <c r="BR6" s="42">
        <f t="shared" si="47"/>
        <v>265.81350000000003</v>
      </c>
    </row>
    <row r="7" spans="1:72" x14ac:dyDescent="0.25">
      <c r="A7" s="232" t="s">
        <v>5</v>
      </c>
      <c r="B7" s="38">
        <v>104.577</v>
      </c>
      <c r="C7" s="38">
        <v>17.171999999999997</v>
      </c>
      <c r="D7" s="38">
        <v>750.69200000000001</v>
      </c>
      <c r="E7" s="38">
        <v>119.124</v>
      </c>
      <c r="F7" s="38">
        <v>89.531999999999996</v>
      </c>
      <c r="G7" s="38">
        <v>183.48</v>
      </c>
      <c r="H7" s="38">
        <v>137.98400000000001</v>
      </c>
      <c r="I7" s="38">
        <v>76.736000000000004</v>
      </c>
      <c r="J7" s="38">
        <v>3182.74</v>
      </c>
      <c r="K7" s="38">
        <v>1857.5919999999999</v>
      </c>
      <c r="L7" s="38">
        <v>611.74400000000003</v>
      </c>
      <c r="M7" s="38">
        <v>64.680000000000007</v>
      </c>
      <c r="N7" s="38">
        <v>372.03300000000002</v>
      </c>
      <c r="O7" s="38">
        <v>125.664</v>
      </c>
      <c r="P7" s="38">
        <v>117.312</v>
      </c>
      <c r="Q7" s="38">
        <v>90.99199999999999</v>
      </c>
      <c r="R7" s="50">
        <v>102.5</v>
      </c>
      <c r="S7" s="38">
        <v>234.19200000000001</v>
      </c>
      <c r="T7" s="38">
        <v>306.53999999999996</v>
      </c>
      <c r="U7" s="38">
        <v>239.36500000000001</v>
      </c>
      <c r="V7" s="166">
        <v>74.36</v>
      </c>
      <c r="W7" s="42">
        <f t="shared" si="7"/>
        <v>8859.0110000000004</v>
      </c>
      <c r="X7" s="243">
        <f t="shared" si="8"/>
        <v>34.858999999999995</v>
      </c>
      <c r="Y7" s="38">
        <f t="shared" si="9"/>
        <v>59.561999999999998</v>
      </c>
      <c r="Z7" s="38">
        <f t="shared" si="10"/>
        <v>89.531999999999996</v>
      </c>
      <c r="AA7" s="38">
        <f t="shared" si="11"/>
        <v>183.48</v>
      </c>
      <c r="AB7" s="38">
        <f t="shared" si="12"/>
        <v>137.98400000000001</v>
      </c>
      <c r="AC7" s="38">
        <f t="shared" si="13"/>
        <v>76.736000000000004</v>
      </c>
      <c r="AD7" s="38">
        <f t="shared" si="14"/>
        <v>1591.37</v>
      </c>
      <c r="AE7" s="38">
        <f t="shared" si="15"/>
        <v>928.79599999999994</v>
      </c>
      <c r="AF7" s="38">
        <f t="shared" si="16"/>
        <v>58.655999999999999</v>
      </c>
      <c r="AG7" s="38">
        <f t="shared" si="17"/>
        <v>90.99199999999999</v>
      </c>
      <c r="AH7" s="50">
        <f t="shared" si="18"/>
        <v>102.5</v>
      </c>
      <c r="AI7" s="166">
        <f t="shared" si="0"/>
        <v>3354.4670000000001</v>
      </c>
      <c r="AJ7" s="243">
        <f t="shared" si="19"/>
        <v>34.858999999999995</v>
      </c>
      <c r="AK7" s="38">
        <f t="shared" si="20"/>
        <v>59.561999999999998</v>
      </c>
      <c r="AL7" s="38">
        <f t="shared" si="21"/>
        <v>1591.37</v>
      </c>
      <c r="AM7" s="38">
        <f t="shared" si="22"/>
        <v>928.79599999999994</v>
      </c>
      <c r="AN7" s="38">
        <f t="shared" si="23"/>
        <v>58.655999999999999</v>
      </c>
      <c r="AO7" s="38">
        <f t="shared" si="24"/>
        <v>117.096</v>
      </c>
      <c r="AP7" s="42">
        <f t="shared" si="25"/>
        <v>2790.3389999999999</v>
      </c>
      <c r="AQ7" s="167">
        <f t="shared" si="1"/>
        <v>34.858999999999995</v>
      </c>
      <c r="AR7" s="38">
        <f t="shared" si="2"/>
        <v>250.23066666666665</v>
      </c>
      <c r="AS7" s="38">
        <f t="shared" si="26"/>
        <v>152.93600000000001</v>
      </c>
      <c r="AT7" s="38">
        <f t="shared" si="27"/>
        <v>41.887999999999998</v>
      </c>
      <c r="AU7" s="38">
        <f t="shared" si="28"/>
        <v>117.096</v>
      </c>
      <c r="AV7" s="42">
        <f t="shared" si="29"/>
        <v>597.00966666666659</v>
      </c>
      <c r="AW7" s="167">
        <f t="shared" si="3"/>
        <v>8.5859999999999985</v>
      </c>
      <c r="AX7" s="38">
        <f t="shared" si="4"/>
        <v>250.23066666666665</v>
      </c>
      <c r="AY7" s="38">
        <f t="shared" si="30"/>
        <v>152.93600000000001</v>
      </c>
      <c r="AZ7" s="166">
        <f t="shared" si="31"/>
        <v>41.887999999999998</v>
      </c>
      <c r="BA7" s="166">
        <f t="shared" si="32"/>
        <v>102.17999999999998</v>
      </c>
      <c r="BB7" s="42">
        <f t="shared" si="33"/>
        <v>555.82066666666663</v>
      </c>
      <c r="BC7" s="243">
        <f t="shared" si="34"/>
        <v>8.5859999999999985</v>
      </c>
      <c r="BD7" s="38">
        <f t="shared" si="35"/>
        <v>152.93600000000001</v>
      </c>
      <c r="BE7" s="166">
        <f t="shared" si="36"/>
        <v>102.17999999999998</v>
      </c>
      <c r="BF7" s="166">
        <f t="shared" si="37"/>
        <v>263.702</v>
      </c>
      <c r="BG7" s="243">
        <f t="shared" si="38"/>
        <v>152.93600000000001</v>
      </c>
      <c r="BH7" s="38">
        <f t="shared" si="5"/>
        <v>64.680000000000007</v>
      </c>
      <c r="BI7" s="38">
        <f t="shared" si="39"/>
        <v>186.01650000000001</v>
      </c>
      <c r="BJ7" s="166">
        <f t="shared" si="40"/>
        <v>102.17999999999998</v>
      </c>
      <c r="BK7" s="166">
        <f t="shared" si="41"/>
        <v>239.36500000000001</v>
      </c>
      <c r="BL7" s="166">
        <f t="shared" si="42"/>
        <v>74.36</v>
      </c>
      <c r="BM7" s="42">
        <f t="shared" si="43"/>
        <v>819.53750000000002</v>
      </c>
      <c r="BN7" s="167">
        <f t="shared" si="44"/>
        <v>4.2929999999999993</v>
      </c>
      <c r="BO7" s="38">
        <f t="shared" si="6"/>
        <v>250.23066666666665</v>
      </c>
      <c r="BP7" s="38">
        <f t="shared" si="45"/>
        <v>186.01650000000001</v>
      </c>
      <c r="BQ7" s="166">
        <f t="shared" si="46"/>
        <v>41.887999999999998</v>
      </c>
      <c r="BR7" s="42">
        <f t="shared" si="47"/>
        <v>482.42816666666664</v>
      </c>
    </row>
    <row r="8" spans="1:72" x14ac:dyDescent="0.25">
      <c r="A8" s="232" t="s">
        <v>6</v>
      </c>
      <c r="B8" s="38">
        <v>947.53099999999995</v>
      </c>
      <c r="C8" s="38">
        <v>228.95999999999998</v>
      </c>
      <c r="D8" s="38">
        <v>584.26499999999999</v>
      </c>
      <c r="E8" s="38">
        <v>251.48399999999998</v>
      </c>
      <c r="F8" s="38">
        <v>187.35400000000001</v>
      </c>
      <c r="G8" s="38">
        <v>236.85599999999997</v>
      </c>
      <c r="H8" s="38">
        <v>275.96800000000002</v>
      </c>
      <c r="I8" s="38">
        <v>978.3839999999999</v>
      </c>
      <c r="J8" s="38">
        <v>816.96</v>
      </c>
      <c r="K8" s="38">
        <v>1919.808</v>
      </c>
      <c r="L8" s="38">
        <v>3249.89</v>
      </c>
      <c r="M8" s="38">
        <v>255.64000000000001</v>
      </c>
      <c r="N8" s="38">
        <v>160.75500000000002</v>
      </c>
      <c r="O8" s="38">
        <v>184.00800000000001</v>
      </c>
      <c r="P8" s="38">
        <v>105.09199999999998</v>
      </c>
      <c r="Q8" s="38">
        <v>186.12</v>
      </c>
      <c r="R8" s="50">
        <v>290</v>
      </c>
      <c r="S8" s="38">
        <v>1727.8799999999999</v>
      </c>
      <c r="T8" s="38">
        <v>1834.1309999999999</v>
      </c>
      <c r="U8" s="38">
        <v>424.99499999999995</v>
      </c>
      <c r="V8" s="166">
        <v>78.078000000000003</v>
      </c>
      <c r="W8" s="42">
        <f t="shared" si="7"/>
        <v>14924.158999999998</v>
      </c>
      <c r="X8" s="243">
        <f t="shared" si="8"/>
        <v>315.84366666666665</v>
      </c>
      <c r="Y8" s="38">
        <f t="shared" si="9"/>
        <v>125.74199999999999</v>
      </c>
      <c r="Z8" s="38">
        <f t="shared" si="10"/>
        <v>187.35400000000001</v>
      </c>
      <c r="AA8" s="38">
        <f t="shared" si="11"/>
        <v>236.85599999999997</v>
      </c>
      <c r="AB8" s="38">
        <f t="shared" si="12"/>
        <v>275.96800000000002</v>
      </c>
      <c r="AC8" s="38">
        <f t="shared" si="13"/>
        <v>978.3839999999999</v>
      </c>
      <c r="AD8" s="38">
        <f t="shared" si="14"/>
        <v>408.48</v>
      </c>
      <c r="AE8" s="38">
        <f t="shared" si="15"/>
        <v>959.904</v>
      </c>
      <c r="AF8" s="38">
        <f t="shared" si="16"/>
        <v>52.545999999999992</v>
      </c>
      <c r="AG8" s="38">
        <f t="shared" si="17"/>
        <v>186.12</v>
      </c>
      <c r="AH8" s="50">
        <f t="shared" si="18"/>
        <v>290</v>
      </c>
      <c r="AI8" s="166">
        <f t="shared" si="0"/>
        <v>4017.1976666666665</v>
      </c>
      <c r="AJ8" s="243">
        <f t="shared" si="19"/>
        <v>315.84366666666665</v>
      </c>
      <c r="AK8" s="38">
        <f t="shared" si="20"/>
        <v>125.74199999999999</v>
      </c>
      <c r="AL8" s="38">
        <f t="shared" si="21"/>
        <v>408.48</v>
      </c>
      <c r="AM8" s="38">
        <f t="shared" si="22"/>
        <v>959.904</v>
      </c>
      <c r="AN8" s="38">
        <f t="shared" si="23"/>
        <v>52.545999999999992</v>
      </c>
      <c r="AO8" s="38">
        <f t="shared" si="24"/>
        <v>863.93999999999994</v>
      </c>
      <c r="AP8" s="42">
        <f t="shared" si="25"/>
        <v>2726.4556666666667</v>
      </c>
      <c r="AQ8" s="167">
        <f t="shared" si="1"/>
        <v>315.84366666666665</v>
      </c>
      <c r="AR8" s="38">
        <f t="shared" si="2"/>
        <v>194.755</v>
      </c>
      <c r="AS8" s="38">
        <f t="shared" si="26"/>
        <v>812.47249999999997</v>
      </c>
      <c r="AT8" s="38">
        <f t="shared" si="27"/>
        <v>61.335999999999999</v>
      </c>
      <c r="AU8" s="38">
        <f t="shared" si="28"/>
        <v>863.93999999999994</v>
      </c>
      <c r="AV8" s="42">
        <f t="shared" si="29"/>
        <v>2248.3471666666665</v>
      </c>
      <c r="AW8" s="167">
        <f t="shared" si="3"/>
        <v>114.47999999999999</v>
      </c>
      <c r="AX8" s="38">
        <f t="shared" si="4"/>
        <v>194.755</v>
      </c>
      <c r="AY8" s="38">
        <f t="shared" si="30"/>
        <v>812.47249999999997</v>
      </c>
      <c r="AZ8" s="166">
        <f t="shared" si="31"/>
        <v>61.335999999999999</v>
      </c>
      <c r="BA8" s="166">
        <f t="shared" si="32"/>
        <v>611.37699999999995</v>
      </c>
      <c r="BB8" s="42">
        <f t="shared" si="33"/>
        <v>1794.4204999999999</v>
      </c>
      <c r="BC8" s="243">
        <f t="shared" si="34"/>
        <v>114.47999999999999</v>
      </c>
      <c r="BD8" s="38">
        <f t="shared" si="35"/>
        <v>812.47249999999997</v>
      </c>
      <c r="BE8" s="166">
        <f t="shared" si="36"/>
        <v>611.37699999999995</v>
      </c>
      <c r="BF8" s="166">
        <f t="shared" si="37"/>
        <v>1538.3294999999998</v>
      </c>
      <c r="BG8" s="243">
        <f t="shared" si="38"/>
        <v>812.47249999999997</v>
      </c>
      <c r="BH8" s="38">
        <f t="shared" si="5"/>
        <v>255.64000000000001</v>
      </c>
      <c r="BI8" s="38">
        <f t="shared" si="39"/>
        <v>80.377500000000012</v>
      </c>
      <c r="BJ8" s="166">
        <f t="shared" si="40"/>
        <v>611.37699999999995</v>
      </c>
      <c r="BK8" s="166">
        <f t="shared" si="41"/>
        <v>424.99499999999995</v>
      </c>
      <c r="BL8" s="166">
        <f t="shared" si="42"/>
        <v>78.078000000000003</v>
      </c>
      <c r="BM8" s="42">
        <f t="shared" si="43"/>
        <v>2262.94</v>
      </c>
      <c r="BN8" s="167">
        <f t="shared" si="44"/>
        <v>57.239999999999995</v>
      </c>
      <c r="BO8" s="38">
        <f t="shared" si="6"/>
        <v>194.755</v>
      </c>
      <c r="BP8" s="38">
        <f t="shared" si="45"/>
        <v>80.377500000000012</v>
      </c>
      <c r="BQ8" s="166">
        <f t="shared" si="46"/>
        <v>61.335999999999999</v>
      </c>
      <c r="BR8" s="42">
        <f t="shared" si="47"/>
        <v>393.70850000000002</v>
      </c>
    </row>
    <row r="9" spans="1:72" x14ac:dyDescent="0.25">
      <c r="A9" s="232" t="s">
        <v>7</v>
      </c>
      <c r="B9" s="38">
        <v>304.22399999999999</v>
      </c>
      <c r="C9" s="38">
        <v>198.43199999999999</v>
      </c>
      <c r="D9" s="38">
        <v>329.31299999999999</v>
      </c>
      <c r="E9" s="38">
        <v>271.33800000000002</v>
      </c>
      <c r="F9" s="38">
        <v>149.22</v>
      </c>
      <c r="G9" s="38">
        <v>293.56799999999998</v>
      </c>
      <c r="H9" s="38">
        <v>275.96800000000002</v>
      </c>
      <c r="I9" s="38">
        <v>119.9</v>
      </c>
      <c r="J9" s="38">
        <v>63.824999999999996</v>
      </c>
      <c r="K9" s="38">
        <v>271.084</v>
      </c>
      <c r="L9" s="38">
        <v>409.65</v>
      </c>
      <c r="M9" s="38">
        <v>167.86</v>
      </c>
      <c r="N9" s="38">
        <v>220.464</v>
      </c>
      <c r="O9" s="38">
        <v>83.027999999999992</v>
      </c>
      <c r="P9" s="38">
        <v>207.74</v>
      </c>
      <c r="Q9" s="38">
        <v>181.98399999999998</v>
      </c>
      <c r="R9" s="50">
        <v>310</v>
      </c>
      <c r="S9" s="38">
        <v>234.19200000000001</v>
      </c>
      <c r="T9" s="38">
        <v>424.04700000000003</v>
      </c>
      <c r="U9" s="38">
        <v>576.42999999999995</v>
      </c>
      <c r="V9" s="166">
        <v>217.50300000000001</v>
      </c>
      <c r="W9" s="42">
        <f t="shared" si="7"/>
        <v>5309.77</v>
      </c>
      <c r="X9" s="243">
        <f t="shared" si="8"/>
        <v>101.40799999999999</v>
      </c>
      <c r="Y9" s="38">
        <f t="shared" si="9"/>
        <v>135.66900000000001</v>
      </c>
      <c r="Z9" s="38">
        <f t="shared" si="10"/>
        <v>149.22</v>
      </c>
      <c r="AA9" s="38">
        <f t="shared" si="11"/>
        <v>293.56799999999998</v>
      </c>
      <c r="AB9" s="38">
        <f t="shared" si="12"/>
        <v>275.96800000000002</v>
      </c>
      <c r="AC9" s="38">
        <f t="shared" si="13"/>
        <v>119.9</v>
      </c>
      <c r="AD9" s="38">
        <f t="shared" si="14"/>
        <v>31.912499999999998</v>
      </c>
      <c r="AE9" s="38">
        <f t="shared" si="15"/>
        <v>135.542</v>
      </c>
      <c r="AF9" s="38">
        <f t="shared" si="16"/>
        <v>103.87</v>
      </c>
      <c r="AG9" s="38">
        <f t="shared" si="17"/>
        <v>181.98399999999998</v>
      </c>
      <c r="AH9" s="50">
        <f t="shared" si="18"/>
        <v>310</v>
      </c>
      <c r="AI9" s="166">
        <f t="shared" si="0"/>
        <v>1839.0414999999998</v>
      </c>
      <c r="AJ9" s="243">
        <f t="shared" si="19"/>
        <v>101.40799999999999</v>
      </c>
      <c r="AK9" s="38">
        <f t="shared" si="20"/>
        <v>135.66900000000001</v>
      </c>
      <c r="AL9" s="38">
        <f t="shared" si="21"/>
        <v>31.912499999999998</v>
      </c>
      <c r="AM9" s="38">
        <f t="shared" si="22"/>
        <v>135.542</v>
      </c>
      <c r="AN9" s="38">
        <f t="shared" si="23"/>
        <v>103.87</v>
      </c>
      <c r="AO9" s="38">
        <f t="shared" si="24"/>
        <v>117.096</v>
      </c>
      <c r="AP9" s="42">
        <f t="shared" si="25"/>
        <v>625.49750000000006</v>
      </c>
      <c r="AQ9" s="167">
        <f t="shared" si="1"/>
        <v>101.40799999999999</v>
      </c>
      <c r="AR9" s="38">
        <f t="shared" si="2"/>
        <v>109.77099999999999</v>
      </c>
      <c r="AS9" s="38">
        <f t="shared" si="26"/>
        <v>102.41249999999999</v>
      </c>
      <c r="AT9" s="38">
        <f t="shared" si="27"/>
        <v>27.675999999999995</v>
      </c>
      <c r="AU9" s="38">
        <f t="shared" si="28"/>
        <v>117.096</v>
      </c>
      <c r="AV9" s="42">
        <f t="shared" si="29"/>
        <v>458.36349999999999</v>
      </c>
      <c r="AW9" s="167">
        <f t="shared" si="3"/>
        <v>99.215999999999994</v>
      </c>
      <c r="AX9" s="38">
        <f t="shared" si="4"/>
        <v>109.77099999999999</v>
      </c>
      <c r="AY9" s="38">
        <f t="shared" si="30"/>
        <v>102.41249999999999</v>
      </c>
      <c r="AZ9" s="166">
        <f t="shared" si="31"/>
        <v>27.675999999999995</v>
      </c>
      <c r="BA9" s="166">
        <f t="shared" si="32"/>
        <v>141.34899999999999</v>
      </c>
      <c r="BB9" s="42">
        <f t="shared" si="33"/>
        <v>480.42449999999997</v>
      </c>
      <c r="BC9" s="243">
        <f t="shared" si="34"/>
        <v>99.215999999999994</v>
      </c>
      <c r="BD9" s="38">
        <f t="shared" si="35"/>
        <v>102.41249999999999</v>
      </c>
      <c r="BE9" s="166">
        <f t="shared" si="36"/>
        <v>141.34899999999999</v>
      </c>
      <c r="BF9" s="166">
        <f t="shared" si="37"/>
        <v>342.97749999999996</v>
      </c>
      <c r="BG9" s="243">
        <f t="shared" si="38"/>
        <v>102.41249999999999</v>
      </c>
      <c r="BH9" s="38">
        <f t="shared" si="5"/>
        <v>167.86</v>
      </c>
      <c r="BI9" s="38">
        <f t="shared" si="39"/>
        <v>110.232</v>
      </c>
      <c r="BJ9" s="166">
        <f t="shared" si="40"/>
        <v>141.34899999999999</v>
      </c>
      <c r="BK9" s="166">
        <f t="shared" si="41"/>
        <v>576.42999999999995</v>
      </c>
      <c r="BL9" s="166">
        <f t="shared" si="42"/>
        <v>217.50300000000001</v>
      </c>
      <c r="BM9" s="42">
        <f t="shared" si="43"/>
        <v>1315.7864999999999</v>
      </c>
      <c r="BN9" s="167">
        <f t="shared" si="44"/>
        <v>49.607999999999997</v>
      </c>
      <c r="BO9" s="38">
        <f t="shared" si="6"/>
        <v>109.77099999999999</v>
      </c>
      <c r="BP9" s="38">
        <f t="shared" si="45"/>
        <v>110.232</v>
      </c>
      <c r="BQ9" s="166">
        <f t="shared" si="46"/>
        <v>27.675999999999995</v>
      </c>
      <c r="BR9" s="42">
        <f t="shared" si="47"/>
        <v>297.28699999999998</v>
      </c>
    </row>
    <row r="10" spans="1:72" x14ac:dyDescent="0.25">
      <c r="A10" s="232" t="s">
        <v>8</v>
      </c>
      <c r="B10" s="38">
        <v>145.774</v>
      </c>
      <c r="C10" s="38">
        <v>108.756</v>
      </c>
      <c r="D10" s="38">
        <v>300.98500000000001</v>
      </c>
      <c r="E10" s="38">
        <v>185.304</v>
      </c>
      <c r="F10" s="38">
        <v>71.293999999999997</v>
      </c>
      <c r="G10" s="38">
        <v>266.88</v>
      </c>
      <c r="H10" s="38">
        <v>448.44799999999998</v>
      </c>
      <c r="I10" s="38">
        <v>187.04400000000001</v>
      </c>
      <c r="J10" s="38">
        <v>63.824999999999996</v>
      </c>
      <c r="K10" s="38">
        <v>79.99199999999999</v>
      </c>
      <c r="L10" s="38">
        <v>229.40400000000002</v>
      </c>
      <c r="M10" s="38">
        <v>73.92</v>
      </c>
      <c r="N10" s="38">
        <v>509.82299999999998</v>
      </c>
      <c r="O10" s="38">
        <v>201.95999999999998</v>
      </c>
      <c r="P10" s="38">
        <v>215.07199999999997</v>
      </c>
      <c r="Q10" s="38">
        <v>233.684</v>
      </c>
      <c r="R10" s="50">
        <v>225</v>
      </c>
      <c r="S10" s="38">
        <v>125.66399999999999</v>
      </c>
      <c r="T10" s="38">
        <v>260.55899999999997</v>
      </c>
      <c r="U10" s="38">
        <v>595.97</v>
      </c>
      <c r="V10" s="166">
        <v>159.874</v>
      </c>
      <c r="W10" s="42">
        <f t="shared" si="7"/>
        <v>4689.2320000000009</v>
      </c>
      <c r="X10" s="243">
        <f t="shared" si="8"/>
        <v>48.591333333333331</v>
      </c>
      <c r="Y10" s="38">
        <f t="shared" si="9"/>
        <v>92.652000000000001</v>
      </c>
      <c r="Z10" s="38">
        <f t="shared" si="10"/>
        <v>71.293999999999997</v>
      </c>
      <c r="AA10" s="38">
        <f t="shared" si="11"/>
        <v>266.88</v>
      </c>
      <c r="AB10" s="38">
        <f t="shared" si="12"/>
        <v>448.44799999999998</v>
      </c>
      <c r="AC10" s="38">
        <f t="shared" si="13"/>
        <v>187.04400000000001</v>
      </c>
      <c r="AD10" s="38">
        <f t="shared" si="14"/>
        <v>31.912499999999998</v>
      </c>
      <c r="AE10" s="38">
        <f t="shared" si="15"/>
        <v>39.995999999999995</v>
      </c>
      <c r="AF10" s="38">
        <f t="shared" si="16"/>
        <v>107.53599999999999</v>
      </c>
      <c r="AG10" s="38">
        <f t="shared" si="17"/>
        <v>233.684</v>
      </c>
      <c r="AH10" s="50">
        <f t="shared" si="18"/>
        <v>225</v>
      </c>
      <c r="AI10" s="166">
        <f t="shared" si="0"/>
        <v>1753.0378333333333</v>
      </c>
      <c r="AJ10" s="243">
        <f t="shared" si="19"/>
        <v>48.591333333333331</v>
      </c>
      <c r="AK10" s="38">
        <f t="shared" si="20"/>
        <v>92.652000000000001</v>
      </c>
      <c r="AL10" s="38">
        <f t="shared" si="21"/>
        <v>31.912499999999998</v>
      </c>
      <c r="AM10" s="38">
        <f t="shared" si="22"/>
        <v>39.995999999999995</v>
      </c>
      <c r="AN10" s="38">
        <f t="shared" si="23"/>
        <v>107.53599999999999</v>
      </c>
      <c r="AO10" s="38">
        <f t="shared" si="24"/>
        <v>62.831999999999994</v>
      </c>
      <c r="AP10" s="42">
        <f t="shared" si="25"/>
        <v>383.51983333333334</v>
      </c>
      <c r="AQ10" s="167">
        <f t="shared" si="1"/>
        <v>48.591333333333331</v>
      </c>
      <c r="AR10" s="38">
        <f t="shared" si="2"/>
        <v>100.32833333333333</v>
      </c>
      <c r="AS10" s="38">
        <f t="shared" si="26"/>
        <v>57.351000000000006</v>
      </c>
      <c r="AT10" s="38">
        <f t="shared" si="27"/>
        <v>67.319999999999993</v>
      </c>
      <c r="AU10" s="38">
        <f t="shared" si="28"/>
        <v>62.831999999999994</v>
      </c>
      <c r="AV10" s="42">
        <f t="shared" si="29"/>
        <v>336.42266666666666</v>
      </c>
      <c r="AW10" s="167">
        <f t="shared" si="3"/>
        <v>54.378</v>
      </c>
      <c r="AX10" s="38">
        <f t="shared" si="4"/>
        <v>100.32833333333333</v>
      </c>
      <c r="AY10" s="38">
        <f t="shared" si="30"/>
        <v>57.351000000000006</v>
      </c>
      <c r="AZ10" s="166">
        <f t="shared" si="31"/>
        <v>67.319999999999993</v>
      </c>
      <c r="BA10" s="166">
        <f t="shared" si="32"/>
        <v>86.85299999999998</v>
      </c>
      <c r="BB10" s="42">
        <f t="shared" si="33"/>
        <v>366.23033333333331</v>
      </c>
      <c r="BC10" s="243">
        <f t="shared" si="34"/>
        <v>54.378</v>
      </c>
      <c r="BD10" s="38">
        <f t="shared" si="35"/>
        <v>57.351000000000006</v>
      </c>
      <c r="BE10" s="166">
        <f t="shared" si="36"/>
        <v>86.85299999999998</v>
      </c>
      <c r="BF10" s="166">
        <f t="shared" si="37"/>
        <v>198.58199999999999</v>
      </c>
      <c r="BG10" s="243">
        <f t="shared" si="38"/>
        <v>57.351000000000006</v>
      </c>
      <c r="BH10" s="38">
        <f t="shared" si="5"/>
        <v>73.92</v>
      </c>
      <c r="BI10" s="38">
        <f t="shared" si="39"/>
        <v>254.91149999999999</v>
      </c>
      <c r="BJ10" s="166">
        <f t="shared" si="40"/>
        <v>86.85299999999998</v>
      </c>
      <c r="BK10" s="166">
        <f t="shared" si="41"/>
        <v>595.97</v>
      </c>
      <c r="BL10" s="166">
        <f t="shared" si="42"/>
        <v>159.874</v>
      </c>
      <c r="BM10" s="42">
        <f t="shared" si="43"/>
        <v>1228.8795</v>
      </c>
      <c r="BN10" s="167">
        <f t="shared" si="44"/>
        <v>27.189</v>
      </c>
      <c r="BO10" s="38">
        <f t="shared" si="6"/>
        <v>100.32833333333333</v>
      </c>
      <c r="BP10" s="38">
        <f t="shared" si="45"/>
        <v>254.91149999999999</v>
      </c>
      <c r="BQ10" s="166">
        <f t="shared" si="46"/>
        <v>67.319999999999993</v>
      </c>
      <c r="BR10" s="42">
        <f t="shared" si="47"/>
        <v>449.74883333333332</v>
      </c>
    </row>
    <row r="11" spans="1:72" x14ac:dyDescent="0.25">
      <c r="A11" s="232" t="s">
        <v>9</v>
      </c>
      <c r="B11" s="38">
        <v>209.154</v>
      </c>
      <c r="C11" s="38">
        <v>196.524</v>
      </c>
      <c r="D11" s="38">
        <v>169.96800000000002</v>
      </c>
      <c r="E11" s="38">
        <v>145.596</v>
      </c>
      <c r="F11" s="38">
        <v>112.74400000000001</v>
      </c>
      <c r="G11" s="38">
        <v>286.89599999999996</v>
      </c>
      <c r="H11" s="38">
        <v>301.84000000000003</v>
      </c>
      <c r="I11" s="38">
        <v>119.9</v>
      </c>
      <c r="J11" s="38">
        <v>46.805</v>
      </c>
      <c r="K11" s="38">
        <v>75.548000000000002</v>
      </c>
      <c r="L11" s="38">
        <v>136.55000000000001</v>
      </c>
      <c r="M11" s="38">
        <v>118.58</v>
      </c>
      <c r="N11" s="38">
        <v>289.35899999999998</v>
      </c>
      <c r="O11" s="38">
        <v>109.956</v>
      </c>
      <c r="P11" s="38">
        <v>158.86000000000001</v>
      </c>
      <c r="Q11" s="38">
        <v>150.964</v>
      </c>
      <c r="R11" s="50">
        <v>254.99999999999997</v>
      </c>
      <c r="S11" s="38">
        <v>85.679999999999993</v>
      </c>
      <c r="T11" s="38">
        <v>214.578</v>
      </c>
      <c r="U11" s="38">
        <v>195.4</v>
      </c>
      <c r="V11" s="166">
        <v>184.041</v>
      </c>
      <c r="W11" s="42">
        <f t="shared" si="7"/>
        <v>3563.9430000000007</v>
      </c>
      <c r="X11" s="243">
        <f t="shared" si="8"/>
        <v>69.717999999999989</v>
      </c>
      <c r="Y11" s="38">
        <f t="shared" si="9"/>
        <v>72.798000000000002</v>
      </c>
      <c r="Z11" s="38">
        <f t="shared" si="10"/>
        <v>112.74400000000001</v>
      </c>
      <c r="AA11" s="38">
        <f t="shared" si="11"/>
        <v>286.89599999999996</v>
      </c>
      <c r="AB11" s="38">
        <f t="shared" si="12"/>
        <v>301.84000000000003</v>
      </c>
      <c r="AC11" s="38">
        <f t="shared" si="13"/>
        <v>119.9</v>
      </c>
      <c r="AD11" s="38">
        <f t="shared" si="14"/>
        <v>23.4025</v>
      </c>
      <c r="AE11" s="38">
        <f t="shared" si="15"/>
        <v>37.774000000000001</v>
      </c>
      <c r="AF11" s="38">
        <f t="shared" si="16"/>
        <v>79.430000000000007</v>
      </c>
      <c r="AG11" s="38">
        <f t="shared" si="17"/>
        <v>150.964</v>
      </c>
      <c r="AH11" s="50">
        <f t="shared" si="18"/>
        <v>254.99999999999997</v>
      </c>
      <c r="AI11" s="166">
        <f t="shared" si="0"/>
        <v>1510.4665</v>
      </c>
      <c r="AJ11" s="243">
        <f t="shared" si="19"/>
        <v>69.717999999999989</v>
      </c>
      <c r="AK11" s="38">
        <f t="shared" si="20"/>
        <v>72.798000000000002</v>
      </c>
      <c r="AL11" s="38">
        <f t="shared" si="21"/>
        <v>23.4025</v>
      </c>
      <c r="AM11" s="38">
        <f t="shared" si="22"/>
        <v>37.774000000000001</v>
      </c>
      <c r="AN11" s="38">
        <f t="shared" si="23"/>
        <v>79.430000000000007</v>
      </c>
      <c r="AO11" s="38">
        <f t="shared" si="24"/>
        <v>42.839999999999996</v>
      </c>
      <c r="AP11" s="42">
        <f t="shared" si="25"/>
        <v>325.96249999999998</v>
      </c>
      <c r="AQ11" s="167">
        <f t="shared" si="1"/>
        <v>69.717999999999989</v>
      </c>
      <c r="AR11" s="38">
        <f t="shared" si="2"/>
        <v>56.656000000000006</v>
      </c>
      <c r="AS11" s="38">
        <f t="shared" si="26"/>
        <v>34.137500000000003</v>
      </c>
      <c r="AT11" s="38">
        <f t="shared" si="27"/>
        <v>36.652000000000001</v>
      </c>
      <c r="AU11" s="38">
        <f t="shared" si="28"/>
        <v>42.839999999999996</v>
      </c>
      <c r="AV11" s="42">
        <f t="shared" si="29"/>
        <v>240.0035</v>
      </c>
      <c r="AW11" s="167">
        <f t="shared" si="3"/>
        <v>98.262</v>
      </c>
      <c r="AX11" s="38">
        <f t="shared" si="4"/>
        <v>56.656000000000006</v>
      </c>
      <c r="AY11" s="38">
        <f t="shared" si="30"/>
        <v>34.137500000000003</v>
      </c>
      <c r="AZ11" s="166">
        <f t="shared" si="31"/>
        <v>36.652000000000001</v>
      </c>
      <c r="BA11" s="166">
        <f t="shared" si="32"/>
        <v>71.525999999999996</v>
      </c>
      <c r="BB11" s="42">
        <f t="shared" si="33"/>
        <v>297.23349999999999</v>
      </c>
      <c r="BC11" s="243">
        <f t="shared" si="34"/>
        <v>98.262</v>
      </c>
      <c r="BD11" s="38">
        <f t="shared" si="35"/>
        <v>34.137500000000003</v>
      </c>
      <c r="BE11" s="166">
        <f t="shared" si="36"/>
        <v>71.525999999999996</v>
      </c>
      <c r="BF11" s="166">
        <f t="shared" si="37"/>
        <v>203.9255</v>
      </c>
      <c r="BG11" s="243">
        <f t="shared" si="38"/>
        <v>34.137500000000003</v>
      </c>
      <c r="BH11" s="38">
        <f t="shared" si="5"/>
        <v>118.58</v>
      </c>
      <c r="BI11" s="38">
        <f t="shared" si="39"/>
        <v>144.67949999999999</v>
      </c>
      <c r="BJ11" s="166">
        <f t="shared" si="40"/>
        <v>71.525999999999996</v>
      </c>
      <c r="BK11" s="166">
        <f t="shared" si="41"/>
        <v>195.4</v>
      </c>
      <c r="BL11" s="166">
        <f t="shared" si="42"/>
        <v>184.041</v>
      </c>
      <c r="BM11" s="42">
        <f t="shared" si="43"/>
        <v>748.36400000000003</v>
      </c>
      <c r="BN11" s="167">
        <f t="shared" si="44"/>
        <v>49.131</v>
      </c>
      <c r="BO11" s="38">
        <f t="shared" si="6"/>
        <v>56.656000000000006</v>
      </c>
      <c r="BP11" s="38">
        <f t="shared" si="45"/>
        <v>144.67949999999999</v>
      </c>
      <c r="BQ11" s="166">
        <f t="shared" si="46"/>
        <v>36.652000000000001</v>
      </c>
      <c r="BR11" s="42">
        <f t="shared" si="47"/>
        <v>287.11849999999998</v>
      </c>
    </row>
    <row r="12" spans="1:72" x14ac:dyDescent="0.25">
      <c r="A12" s="232" t="s">
        <v>10</v>
      </c>
      <c r="B12" s="38">
        <v>85.563000000000002</v>
      </c>
      <c r="C12" s="38">
        <v>156.45600000000002</v>
      </c>
      <c r="D12" s="38">
        <v>226.624</v>
      </c>
      <c r="E12" s="38">
        <v>145.596</v>
      </c>
      <c r="F12" s="38">
        <v>119.37599999999999</v>
      </c>
      <c r="G12" s="38">
        <v>316.92</v>
      </c>
      <c r="H12" s="38">
        <v>232.84799999999998</v>
      </c>
      <c r="I12" s="38">
        <v>83.93</v>
      </c>
      <c r="J12" s="38">
        <v>0</v>
      </c>
      <c r="K12" s="38">
        <v>53.328000000000003</v>
      </c>
      <c r="L12" s="38">
        <v>87.391999999999996</v>
      </c>
      <c r="M12" s="38">
        <v>55.44</v>
      </c>
      <c r="N12" s="38">
        <v>275.58</v>
      </c>
      <c r="O12" s="38">
        <v>186.25200000000001</v>
      </c>
      <c r="P12" s="38">
        <v>232.18</v>
      </c>
      <c r="Q12" s="38">
        <v>111.672</v>
      </c>
      <c r="R12" s="50">
        <v>62.5</v>
      </c>
      <c r="S12" s="38">
        <v>14.280000000000001</v>
      </c>
      <c r="T12" s="38">
        <v>132.834</v>
      </c>
      <c r="U12" s="38">
        <v>185.63</v>
      </c>
      <c r="V12" s="166">
        <v>107.822</v>
      </c>
      <c r="W12" s="42">
        <f t="shared" si="7"/>
        <v>2872.2230000000004</v>
      </c>
      <c r="X12" s="243">
        <f t="shared" si="8"/>
        <v>28.521000000000001</v>
      </c>
      <c r="Y12" s="38">
        <f t="shared" si="9"/>
        <v>72.798000000000002</v>
      </c>
      <c r="Z12" s="38">
        <f t="shared" si="10"/>
        <v>119.37599999999999</v>
      </c>
      <c r="AA12" s="38">
        <f t="shared" si="11"/>
        <v>316.92</v>
      </c>
      <c r="AB12" s="38">
        <f t="shared" si="12"/>
        <v>232.84799999999998</v>
      </c>
      <c r="AC12" s="38">
        <f t="shared" si="13"/>
        <v>83.93</v>
      </c>
      <c r="AD12" s="38">
        <f t="shared" si="14"/>
        <v>0</v>
      </c>
      <c r="AE12" s="38">
        <f t="shared" si="15"/>
        <v>26.664000000000001</v>
      </c>
      <c r="AF12" s="38">
        <f t="shared" si="16"/>
        <v>116.09</v>
      </c>
      <c r="AG12" s="38">
        <f t="shared" si="17"/>
        <v>111.672</v>
      </c>
      <c r="AH12" s="50">
        <f t="shared" si="18"/>
        <v>62.5</v>
      </c>
      <c r="AI12" s="166">
        <f t="shared" si="0"/>
        <v>1171.319</v>
      </c>
      <c r="AJ12" s="243">
        <f t="shared" si="19"/>
        <v>28.521000000000001</v>
      </c>
      <c r="AK12" s="38">
        <f t="shared" si="20"/>
        <v>72.798000000000002</v>
      </c>
      <c r="AL12" s="38">
        <f t="shared" si="21"/>
        <v>0</v>
      </c>
      <c r="AM12" s="38">
        <f t="shared" si="22"/>
        <v>26.664000000000001</v>
      </c>
      <c r="AN12" s="38">
        <f t="shared" si="23"/>
        <v>116.09</v>
      </c>
      <c r="AO12" s="38">
        <f t="shared" si="24"/>
        <v>7.1400000000000006</v>
      </c>
      <c r="AP12" s="42">
        <f t="shared" si="25"/>
        <v>251.21300000000002</v>
      </c>
      <c r="AQ12" s="167">
        <f t="shared" si="1"/>
        <v>28.521000000000001</v>
      </c>
      <c r="AR12" s="38">
        <f t="shared" si="2"/>
        <v>75.541333333333327</v>
      </c>
      <c r="AS12" s="38">
        <f t="shared" si="26"/>
        <v>21.847999999999999</v>
      </c>
      <c r="AT12" s="38">
        <f t="shared" si="27"/>
        <v>62.084000000000003</v>
      </c>
      <c r="AU12" s="38">
        <f t="shared" si="28"/>
        <v>7.1400000000000006</v>
      </c>
      <c r="AV12" s="42">
        <f t="shared" si="29"/>
        <v>195.1343333333333</v>
      </c>
      <c r="AW12" s="167">
        <f t="shared" si="3"/>
        <v>78.228000000000009</v>
      </c>
      <c r="AX12" s="38">
        <f t="shared" si="4"/>
        <v>75.541333333333327</v>
      </c>
      <c r="AY12" s="38">
        <f t="shared" si="30"/>
        <v>21.847999999999999</v>
      </c>
      <c r="AZ12" s="166">
        <f t="shared" si="31"/>
        <v>62.084000000000003</v>
      </c>
      <c r="BA12" s="166">
        <f t="shared" si="32"/>
        <v>44.277999999999999</v>
      </c>
      <c r="BB12" s="42">
        <f t="shared" si="33"/>
        <v>281.97933333333339</v>
      </c>
      <c r="BC12" s="243">
        <f t="shared" si="34"/>
        <v>78.228000000000009</v>
      </c>
      <c r="BD12" s="38">
        <f t="shared" si="35"/>
        <v>21.847999999999999</v>
      </c>
      <c r="BE12" s="166">
        <f t="shared" si="36"/>
        <v>44.277999999999999</v>
      </c>
      <c r="BF12" s="166">
        <f t="shared" si="37"/>
        <v>144.35400000000001</v>
      </c>
      <c r="BG12" s="243">
        <f t="shared" si="38"/>
        <v>21.847999999999999</v>
      </c>
      <c r="BH12" s="38">
        <f t="shared" si="5"/>
        <v>55.44</v>
      </c>
      <c r="BI12" s="38">
        <f t="shared" si="39"/>
        <v>137.79</v>
      </c>
      <c r="BJ12" s="166">
        <f t="shared" si="40"/>
        <v>44.277999999999999</v>
      </c>
      <c r="BK12" s="166">
        <f t="shared" si="41"/>
        <v>185.63</v>
      </c>
      <c r="BL12" s="166">
        <f t="shared" si="42"/>
        <v>107.822</v>
      </c>
      <c r="BM12" s="42">
        <f t="shared" si="43"/>
        <v>552.80799999999999</v>
      </c>
      <c r="BN12" s="167">
        <f t="shared" si="44"/>
        <v>39.114000000000004</v>
      </c>
      <c r="BO12" s="38">
        <f t="shared" si="6"/>
        <v>75.541333333333327</v>
      </c>
      <c r="BP12" s="38">
        <f t="shared" si="45"/>
        <v>137.79</v>
      </c>
      <c r="BQ12" s="166">
        <f t="shared" si="46"/>
        <v>62.084000000000003</v>
      </c>
      <c r="BR12" s="42">
        <f t="shared" si="47"/>
        <v>314.52933333333334</v>
      </c>
    </row>
    <row r="13" spans="1:72" x14ac:dyDescent="0.25">
      <c r="A13" s="232" t="s">
        <v>11</v>
      </c>
      <c r="B13" s="38">
        <v>98.239000000000004</v>
      </c>
      <c r="C13" s="38">
        <v>122.11200000000001</v>
      </c>
      <c r="D13" s="38">
        <v>233.70600000000002</v>
      </c>
      <c r="E13" s="38">
        <v>360.68099999999998</v>
      </c>
      <c r="F13" s="38">
        <v>44.765999999999998</v>
      </c>
      <c r="G13" s="38">
        <v>216.84</v>
      </c>
      <c r="H13" s="38">
        <v>150.92000000000002</v>
      </c>
      <c r="I13" s="38">
        <v>117.50200000000001</v>
      </c>
      <c r="J13" s="38">
        <v>38.294999999999995</v>
      </c>
      <c r="K13" s="38">
        <v>44.44</v>
      </c>
      <c r="L13" s="38">
        <v>76.468000000000004</v>
      </c>
      <c r="M13" s="38">
        <v>72.38</v>
      </c>
      <c r="N13" s="38">
        <v>257.20800000000003</v>
      </c>
      <c r="O13" s="38">
        <v>188.49600000000001</v>
      </c>
      <c r="P13" s="38">
        <v>131.976</v>
      </c>
      <c r="Q13" s="38">
        <v>97.195999999999998</v>
      </c>
      <c r="R13" s="50">
        <v>137.5</v>
      </c>
      <c r="S13" s="38">
        <v>94.248000000000005</v>
      </c>
      <c r="T13" s="38">
        <v>219.68699999999998</v>
      </c>
      <c r="U13" s="38">
        <v>312.64</v>
      </c>
      <c r="V13" s="166">
        <v>130.13000000000002</v>
      </c>
      <c r="W13" s="42">
        <f t="shared" si="7"/>
        <v>3145.4300000000003</v>
      </c>
      <c r="X13" s="243">
        <f t="shared" si="8"/>
        <v>32.746333333333332</v>
      </c>
      <c r="Y13" s="38">
        <f t="shared" si="9"/>
        <v>180.34049999999999</v>
      </c>
      <c r="Z13" s="38">
        <f t="shared" si="10"/>
        <v>44.765999999999998</v>
      </c>
      <c r="AA13" s="38">
        <f t="shared" si="11"/>
        <v>216.84</v>
      </c>
      <c r="AB13" s="38">
        <f t="shared" si="12"/>
        <v>150.92000000000002</v>
      </c>
      <c r="AC13" s="38">
        <f t="shared" si="13"/>
        <v>117.50200000000001</v>
      </c>
      <c r="AD13" s="38">
        <f t="shared" si="14"/>
        <v>19.147499999999997</v>
      </c>
      <c r="AE13" s="38">
        <f t="shared" si="15"/>
        <v>22.22</v>
      </c>
      <c r="AF13" s="38">
        <f t="shared" si="16"/>
        <v>65.988</v>
      </c>
      <c r="AG13" s="38">
        <f t="shared" si="17"/>
        <v>97.195999999999998</v>
      </c>
      <c r="AH13" s="50">
        <f t="shared" si="18"/>
        <v>137.5</v>
      </c>
      <c r="AI13" s="166">
        <f t="shared" si="0"/>
        <v>1085.1663333333336</v>
      </c>
      <c r="AJ13" s="243">
        <f t="shared" si="19"/>
        <v>32.746333333333332</v>
      </c>
      <c r="AK13" s="38">
        <f t="shared" si="20"/>
        <v>180.34049999999999</v>
      </c>
      <c r="AL13" s="38">
        <f t="shared" si="21"/>
        <v>19.147499999999997</v>
      </c>
      <c r="AM13" s="38">
        <f t="shared" si="22"/>
        <v>22.22</v>
      </c>
      <c r="AN13" s="38">
        <f t="shared" si="23"/>
        <v>65.988</v>
      </c>
      <c r="AO13" s="38">
        <f t="shared" si="24"/>
        <v>47.124000000000002</v>
      </c>
      <c r="AP13" s="42">
        <f t="shared" si="25"/>
        <v>367.56633333333332</v>
      </c>
      <c r="AQ13" s="167">
        <f t="shared" si="1"/>
        <v>32.746333333333332</v>
      </c>
      <c r="AR13" s="38">
        <f t="shared" si="2"/>
        <v>77.902000000000001</v>
      </c>
      <c r="AS13" s="38">
        <f t="shared" si="26"/>
        <v>19.117000000000001</v>
      </c>
      <c r="AT13" s="38">
        <f t="shared" si="27"/>
        <v>62.832000000000001</v>
      </c>
      <c r="AU13" s="38">
        <f t="shared" si="28"/>
        <v>47.124000000000002</v>
      </c>
      <c r="AV13" s="42">
        <f t="shared" si="29"/>
        <v>239.72133333333332</v>
      </c>
      <c r="AW13" s="167">
        <f t="shared" si="3"/>
        <v>61.056000000000004</v>
      </c>
      <c r="AX13" s="38">
        <f t="shared" si="4"/>
        <v>77.902000000000001</v>
      </c>
      <c r="AY13" s="38">
        <f t="shared" si="30"/>
        <v>19.117000000000001</v>
      </c>
      <c r="AZ13" s="166">
        <f t="shared" si="31"/>
        <v>62.832000000000001</v>
      </c>
      <c r="BA13" s="166">
        <f t="shared" si="32"/>
        <v>73.228999999999985</v>
      </c>
      <c r="BB13" s="42">
        <f t="shared" si="33"/>
        <v>294.13599999999997</v>
      </c>
      <c r="BC13" s="243">
        <f t="shared" si="34"/>
        <v>61.056000000000004</v>
      </c>
      <c r="BD13" s="38">
        <f t="shared" si="35"/>
        <v>19.117000000000001</v>
      </c>
      <c r="BE13" s="166">
        <f t="shared" si="36"/>
        <v>73.228999999999985</v>
      </c>
      <c r="BF13" s="166">
        <f t="shared" si="37"/>
        <v>153.40199999999999</v>
      </c>
      <c r="BG13" s="243">
        <f t="shared" si="38"/>
        <v>19.117000000000001</v>
      </c>
      <c r="BH13" s="38">
        <f t="shared" si="5"/>
        <v>72.38</v>
      </c>
      <c r="BI13" s="38">
        <f t="shared" si="39"/>
        <v>128.60400000000001</v>
      </c>
      <c r="BJ13" s="166">
        <f t="shared" si="40"/>
        <v>73.228999999999985</v>
      </c>
      <c r="BK13" s="166">
        <f t="shared" si="41"/>
        <v>312.64</v>
      </c>
      <c r="BL13" s="166">
        <f t="shared" si="42"/>
        <v>130.13000000000002</v>
      </c>
      <c r="BM13" s="42">
        <f t="shared" si="43"/>
        <v>736.1</v>
      </c>
      <c r="BN13" s="167">
        <f t="shared" si="44"/>
        <v>30.528000000000002</v>
      </c>
      <c r="BO13" s="38">
        <f t="shared" si="6"/>
        <v>77.902000000000001</v>
      </c>
      <c r="BP13" s="38">
        <f t="shared" si="45"/>
        <v>128.60400000000001</v>
      </c>
      <c r="BQ13" s="166">
        <f t="shared" si="46"/>
        <v>62.832000000000001</v>
      </c>
      <c r="BR13" s="42">
        <f t="shared" si="47"/>
        <v>299.86600000000004</v>
      </c>
    </row>
    <row r="14" spans="1:72" x14ac:dyDescent="0.25">
      <c r="A14" s="232" t="s">
        <v>12</v>
      </c>
      <c r="B14" s="38">
        <v>205.98500000000001</v>
      </c>
      <c r="C14" s="38">
        <v>103.032</v>
      </c>
      <c r="D14" s="38">
        <v>191.214</v>
      </c>
      <c r="E14" s="38">
        <v>390.46199999999999</v>
      </c>
      <c r="F14" s="38">
        <v>114.40200000000002</v>
      </c>
      <c r="G14" s="38">
        <v>266.88</v>
      </c>
      <c r="H14" s="38">
        <v>297.52800000000002</v>
      </c>
      <c r="I14" s="38">
        <v>115.104</v>
      </c>
      <c r="J14" s="38">
        <v>0</v>
      </c>
      <c r="K14" s="38">
        <v>39.995999999999995</v>
      </c>
      <c r="L14" s="38">
        <v>71.006</v>
      </c>
      <c r="M14" s="38">
        <v>121.66</v>
      </c>
      <c r="N14" s="38">
        <v>381.21899999999999</v>
      </c>
      <c r="O14" s="38">
        <v>150.34800000000001</v>
      </c>
      <c r="P14" s="38">
        <v>207.74</v>
      </c>
      <c r="Q14" s="38">
        <v>188.18799999999999</v>
      </c>
      <c r="R14" s="50">
        <v>137.5</v>
      </c>
      <c r="S14" s="38">
        <v>77.111999999999995</v>
      </c>
      <c r="T14" s="38">
        <v>107.289</v>
      </c>
      <c r="U14" s="38">
        <v>312.64</v>
      </c>
      <c r="V14" s="166">
        <v>130.13000000000002</v>
      </c>
      <c r="W14" s="42">
        <f t="shared" si="7"/>
        <v>3609.4350000000004</v>
      </c>
      <c r="X14" s="243">
        <f t="shared" si="8"/>
        <v>68.661666666666662</v>
      </c>
      <c r="Y14" s="38">
        <f t="shared" si="9"/>
        <v>195.23099999999999</v>
      </c>
      <c r="Z14" s="38">
        <f t="shared" si="10"/>
        <v>114.40200000000002</v>
      </c>
      <c r="AA14" s="38">
        <f t="shared" si="11"/>
        <v>266.88</v>
      </c>
      <c r="AB14" s="38">
        <f t="shared" si="12"/>
        <v>297.52800000000002</v>
      </c>
      <c r="AC14" s="38">
        <f t="shared" si="13"/>
        <v>115.104</v>
      </c>
      <c r="AD14" s="38">
        <f t="shared" si="14"/>
        <v>0</v>
      </c>
      <c r="AE14" s="38">
        <f t="shared" si="15"/>
        <v>19.997999999999998</v>
      </c>
      <c r="AF14" s="38">
        <f t="shared" si="16"/>
        <v>103.87</v>
      </c>
      <c r="AG14" s="38">
        <f t="shared" si="17"/>
        <v>188.18799999999999</v>
      </c>
      <c r="AH14" s="50">
        <f t="shared" si="18"/>
        <v>137.5</v>
      </c>
      <c r="AI14" s="166">
        <f t="shared" si="0"/>
        <v>1507.3626666666669</v>
      </c>
      <c r="AJ14" s="243">
        <f t="shared" si="19"/>
        <v>68.661666666666662</v>
      </c>
      <c r="AK14" s="38">
        <f t="shared" si="20"/>
        <v>195.23099999999999</v>
      </c>
      <c r="AL14" s="38">
        <f t="shared" si="21"/>
        <v>0</v>
      </c>
      <c r="AM14" s="38">
        <f t="shared" si="22"/>
        <v>19.997999999999998</v>
      </c>
      <c r="AN14" s="38">
        <f t="shared" si="23"/>
        <v>103.87</v>
      </c>
      <c r="AO14" s="38">
        <f t="shared" si="24"/>
        <v>38.555999999999997</v>
      </c>
      <c r="AP14" s="42">
        <f t="shared" si="25"/>
        <v>426.31666666666661</v>
      </c>
      <c r="AQ14" s="167">
        <f t="shared" si="1"/>
        <v>68.661666666666662</v>
      </c>
      <c r="AR14" s="38">
        <f t="shared" si="2"/>
        <v>63.738</v>
      </c>
      <c r="AS14" s="38">
        <f t="shared" si="26"/>
        <v>17.7515</v>
      </c>
      <c r="AT14" s="38">
        <f t="shared" si="27"/>
        <v>50.116</v>
      </c>
      <c r="AU14" s="38">
        <f t="shared" si="28"/>
        <v>38.555999999999997</v>
      </c>
      <c r="AV14" s="42">
        <f t="shared" si="29"/>
        <v>238.82316666666662</v>
      </c>
      <c r="AW14" s="167">
        <f t="shared" si="3"/>
        <v>51.515999999999998</v>
      </c>
      <c r="AX14" s="38">
        <f t="shared" si="4"/>
        <v>63.738</v>
      </c>
      <c r="AY14" s="38">
        <f t="shared" si="30"/>
        <v>17.7515</v>
      </c>
      <c r="AZ14" s="166">
        <f t="shared" si="31"/>
        <v>50.116</v>
      </c>
      <c r="BA14" s="166">
        <f t="shared" si="32"/>
        <v>35.762999999999998</v>
      </c>
      <c r="BB14" s="42">
        <f t="shared" si="33"/>
        <v>218.88449999999997</v>
      </c>
      <c r="BC14" s="243">
        <f t="shared" si="34"/>
        <v>51.515999999999998</v>
      </c>
      <c r="BD14" s="38">
        <f t="shared" si="35"/>
        <v>17.7515</v>
      </c>
      <c r="BE14" s="166">
        <f t="shared" si="36"/>
        <v>35.762999999999998</v>
      </c>
      <c r="BF14" s="166">
        <f t="shared" si="37"/>
        <v>105.03049999999999</v>
      </c>
      <c r="BG14" s="243">
        <f t="shared" si="38"/>
        <v>17.7515</v>
      </c>
      <c r="BH14" s="38">
        <f t="shared" si="5"/>
        <v>121.66</v>
      </c>
      <c r="BI14" s="38">
        <f t="shared" si="39"/>
        <v>190.6095</v>
      </c>
      <c r="BJ14" s="166">
        <f t="shared" si="40"/>
        <v>35.762999999999998</v>
      </c>
      <c r="BK14" s="166">
        <f t="shared" si="41"/>
        <v>312.64</v>
      </c>
      <c r="BL14" s="166">
        <f t="shared" si="42"/>
        <v>130.13000000000002</v>
      </c>
      <c r="BM14" s="42">
        <f t="shared" si="43"/>
        <v>808.55399999999997</v>
      </c>
      <c r="BN14" s="167">
        <f t="shared" si="44"/>
        <v>25.757999999999999</v>
      </c>
      <c r="BO14" s="38">
        <f t="shared" si="6"/>
        <v>63.738</v>
      </c>
      <c r="BP14" s="38">
        <f t="shared" si="45"/>
        <v>190.6095</v>
      </c>
      <c r="BQ14" s="166">
        <f t="shared" si="46"/>
        <v>50.116</v>
      </c>
      <c r="BR14" s="42">
        <f t="shared" si="47"/>
        <v>330.22149999999999</v>
      </c>
    </row>
    <row r="15" spans="1:72" x14ac:dyDescent="0.25">
      <c r="A15" s="232" t="s">
        <v>13</v>
      </c>
      <c r="B15" s="38">
        <v>190.14</v>
      </c>
      <c r="C15" s="38">
        <v>95.4</v>
      </c>
      <c r="D15" s="38">
        <v>201.83700000000002</v>
      </c>
      <c r="E15" s="38">
        <v>225.01200000000003</v>
      </c>
      <c r="F15" s="38">
        <v>81.242000000000004</v>
      </c>
      <c r="G15" s="38">
        <v>243.52799999999999</v>
      </c>
      <c r="H15" s="38">
        <v>254.40799999999999</v>
      </c>
      <c r="I15" s="38">
        <v>81.532000000000011</v>
      </c>
      <c r="J15" s="38">
        <v>4.2549999999999999</v>
      </c>
      <c r="K15" s="38">
        <v>39.995999999999995</v>
      </c>
      <c r="L15" s="38">
        <v>81.929999999999993</v>
      </c>
      <c r="M15" s="38">
        <v>107.80000000000001</v>
      </c>
      <c r="N15" s="38">
        <v>404.18399999999997</v>
      </c>
      <c r="O15" s="38">
        <v>100.97999999999999</v>
      </c>
      <c r="P15" s="38">
        <v>158.86000000000001</v>
      </c>
      <c r="Q15" s="38">
        <v>119.944</v>
      </c>
      <c r="R15" s="50">
        <v>170</v>
      </c>
      <c r="S15" s="38">
        <v>71.400000000000006</v>
      </c>
      <c r="T15" s="38">
        <v>122.616</v>
      </c>
      <c r="U15" s="38">
        <v>249.13499999999999</v>
      </c>
      <c r="V15" s="166">
        <v>124.55300000000001</v>
      </c>
      <c r="W15" s="42">
        <f t="shared" si="7"/>
        <v>3128.7519999999995</v>
      </c>
      <c r="X15" s="243">
        <f t="shared" si="8"/>
        <v>63.379999999999995</v>
      </c>
      <c r="Y15" s="38">
        <f t="shared" si="9"/>
        <v>112.50600000000001</v>
      </c>
      <c r="Z15" s="38">
        <f t="shared" si="10"/>
        <v>81.242000000000004</v>
      </c>
      <c r="AA15" s="38">
        <f t="shared" si="11"/>
        <v>243.52799999999999</v>
      </c>
      <c r="AB15" s="38">
        <f t="shared" si="12"/>
        <v>254.40799999999999</v>
      </c>
      <c r="AC15" s="38">
        <f t="shared" si="13"/>
        <v>81.532000000000011</v>
      </c>
      <c r="AD15" s="38">
        <f t="shared" si="14"/>
        <v>2.1274999999999999</v>
      </c>
      <c r="AE15" s="38">
        <f t="shared" si="15"/>
        <v>19.997999999999998</v>
      </c>
      <c r="AF15" s="38">
        <f t="shared" si="16"/>
        <v>79.430000000000007</v>
      </c>
      <c r="AG15" s="38">
        <f t="shared" si="17"/>
        <v>119.944</v>
      </c>
      <c r="AH15" s="50">
        <f t="shared" si="18"/>
        <v>170</v>
      </c>
      <c r="AI15" s="166">
        <f t="shared" si="0"/>
        <v>1228.0955000000001</v>
      </c>
      <c r="AJ15" s="243">
        <f t="shared" si="19"/>
        <v>63.379999999999995</v>
      </c>
      <c r="AK15" s="38">
        <f t="shared" si="20"/>
        <v>112.50600000000001</v>
      </c>
      <c r="AL15" s="38">
        <f t="shared" si="21"/>
        <v>2.1274999999999999</v>
      </c>
      <c r="AM15" s="38">
        <f t="shared" si="22"/>
        <v>19.997999999999998</v>
      </c>
      <c r="AN15" s="38">
        <f t="shared" si="23"/>
        <v>79.430000000000007</v>
      </c>
      <c r="AO15" s="38">
        <f t="shared" si="24"/>
        <v>35.700000000000003</v>
      </c>
      <c r="AP15" s="42">
        <f t="shared" si="25"/>
        <v>313.14150000000001</v>
      </c>
      <c r="AQ15" s="167">
        <f t="shared" si="1"/>
        <v>63.379999999999995</v>
      </c>
      <c r="AR15" s="38">
        <f t="shared" si="2"/>
        <v>67.278999999999996</v>
      </c>
      <c r="AS15" s="38">
        <f t="shared" si="26"/>
        <v>20.482499999999998</v>
      </c>
      <c r="AT15" s="38">
        <f t="shared" si="27"/>
        <v>33.659999999999997</v>
      </c>
      <c r="AU15" s="38">
        <f t="shared" si="28"/>
        <v>35.700000000000003</v>
      </c>
      <c r="AV15" s="42">
        <f t="shared" si="29"/>
        <v>220.50149999999996</v>
      </c>
      <c r="AW15" s="167">
        <f t="shared" si="3"/>
        <v>47.7</v>
      </c>
      <c r="AX15" s="38">
        <f t="shared" si="4"/>
        <v>67.278999999999996</v>
      </c>
      <c r="AY15" s="38">
        <f t="shared" si="30"/>
        <v>20.482499999999998</v>
      </c>
      <c r="AZ15" s="166">
        <f t="shared" si="31"/>
        <v>33.659999999999997</v>
      </c>
      <c r="BA15" s="166">
        <f t="shared" si="32"/>
        <v>40.872</v>
      </c>
      <c r="BB15" s="42">
        <f t="shared" si="33"/>
        <v>209.99349999999998</v>
      </c>
      <c r="BC15" s="243">
        <f t="shared" si="34"/>
        <v>47.7</v>
      </c>
      <c r="BD15" s="38">
        <f t="shared" si="35"/>
        <v>20.482499999999998</v>
      </c>
      <c r="BE15" s="166">
        <f t="shared" si="36"/>
        <v>40.872</v>
      </c>
      <c r="BF15" s="166">
        <f t="shared" si="37"/>
        <v>109.0545</v>
      </c>
      <c r="BG15" s="243">
        <f t="shared" si="38"/>
        <v>20.482499999999998</v>
      </c>
      <c r="BH15" s="38">
        <f t="shared" si="5"/>
        <v>107.80000000000001</v>
      </c>
      <c r="BI15" s="38">
        <f t="shared" si="39"/>
        <v>202.09199999999998</v>
      </c>
      <c r="BJ15" s="166">
        <f t="shared" si="40"/>
        <v>40.872</v>
      </c>
      <c r="BK15" s="166">
        <f t="shared" si="41"/>
        <v>249.13499999999999</v>
      </c>
      <c r="BL15" s="166">
        <f t="shared" si="42"/>
        <v>124.55300000000001</v>
      </c>
      <c r="BM15" s="42">
        <f t="shared" si="43"/>
        <v>744.93449999999996</v>
      </c>
      <c r="BN15" s="167">
        <f t="shared" si="44"/>
        <v>23.85</v>
      </c>
      <c r="BO15" s="38">
        <f t="shared" si="6"/>
        <v>67.278999999999996</v>
      </c>
      <c r="BP15" s="38">
        <f t="shared" si="45"/>
        <v>202.09199999999998</v>
      </c>
      <c r="BQ15" s="166">
        <f t="shared" si="46"/>
        <v>33.659999999999997</v>
      </c>
      <c r="BR15" s="42">
        <f t="shared" si="47"/>
        <v>326.88099999999997</v>
      </c>
    </row>
    <row r="16" spans="1:72" x14ac:dyDescent="0.25">
      <c r="A16" s="232" t="s">
        <v>14</v>
      </c>
      <c r="B16" s="38">
        <v>221.83</v>
      </c>
      <c r="C16" s="38">
        <v>114.47999999999999</v>
      </c>
      <c r="D16" s="38">
        <v>173.50900000000001</v>
      </c>
      <c r="E16" s="38">
        <v>165.45000000000002</v>
      </c>
      <c r="F16" s="38">
        <v>87.873999999999995</v>
      </c>
      <c r="G16" s="38">
        <v>296.904</v>
      </c>
      <c r="H16" s="38">
        <v>375.14399999999995</v>
      </c>
      <c r="I16" s="38">
        <v>64.745999999999995</v>
      </c>
      <c r="J16" s="38">
        <v>17.02</v>
      </c>
      <c r="K16" s="38">
        <v>17.776</v>
      </c>
      <c r="L16" s="38">
        <v>180.24600000000001</v>
      </c>
      <c r="M16" s="38">
        <v>98.56</v>
      </c>
      <c r="N16" s="38">
        <v>206.685</v>
      </c>
      <c r="O16" s="38">
        <v>143.61600000000001</v>
      </c>
      <c r="P16" s="38">
        <v>144.196</v>
      </c>
      <c r="Q16" s="38">
        <v>122.012</v>
      </c>
      <c r="R16" s="50">
        <v>70</v>
      </c>
      <c r="S16" s="38">
        <v>19.992000000000001</v>
      </c>
      <c r="T16" s="38">
        <v>183.92399999999998</v>
      </c>
      <c r="U16" s="38">
        <v>180.745</v>
      </c>
      <c r="V16" s="166">
        <v>105.96300000000001</v>
      </c>
      <c r="W16" s="42">
        <f t="shared" si="7"/>
        <v>2990.6720000000005</v>
      </c>
      <c r="X16" s="243">
        <f t="shared" si="8"/>
        <v>73.943333333333328</v>
      </c>
      <c r="Y16" s="38">
        <f t="shared" si="9"/>
        <v>82.725000000000009</v>
      </c>
      <c r="Z16" s="38">
        <f t="shared" si="10"/>
        <v>87.873999999999995</v>
      </c>
      <c r="AA16" s="38">
        <f t="shared" si="11"/>
        <v>296.904</v>
      </c>
      <c r="AB16" s="38">
        <f t="shared" si="12"/>
        <v>375.14399999999995</v>
      </c>
      <c r="AC16" s="38">
        <f t="shared" si="13"/>
        <v>64.745999999999995</v>
      </c>
      <c r="AD16" s="38">
        <f t="shared" si="14"/>
        <v>8.51</v>
      </c>
      <c r="AE16" s="38">
        <f t="shared" si="15"/>
        <v>8.8879999999999999</v>
      </c>
      <c r="AF16" s="38">
        <f t="shared" si="16"/>
        <v>72.097999999999999</v>
      </c>
      <c r="AG16" s="38">
        <f t="shared" si="17"/>
        <v>122.012</v>
      </c>
      <c r="AH16" s="50">
        <f t="shared" si="18"/>
        <v>70</v>
      </c>
      <c r="AI16" s="166">
        <f t="shared" si="0"/>
        <v>1262.8443333333332</v>
      </c>
      <c r="AJ16" s="243">
        <f t="shared" si="19"/>
        <v>73.943333333333328</v>
      </c>
      <c r="AK16" s="38">
        <f t="shared" si="20"/>
        <v>82.725000000000009</v>
      </c>
      <c r="AL16" s="38">
        <f t="shared" si="21"/>
        <v>8.51</v>
      </c>
      <c r="AM16" s="38">
        <f t="shared" si="22"/>
        <v>8.8879999999999999</v>
      </c>
      <c r="AN16" s="38">
        <f t="shared" si="23"/>
        <v>72.097999999999999</v>
      </c>
      <c r="AO16" s="38">
        <f t="shared" si="24"/>
        <v>9.9960000000000004</v>
      </c>
      <c r="AP16" s="42">
        <f t="shared" si="25"/>
        <v>256.16033333333331</v>
      </c>
      <c r="AQ16" s="167">
        <f t="shared" si="1"/>
        <v>73.943333333333328</v>
      </c>
      <c r="AR16" s="38">
        <f t="shared" si="2"/>
        <v>57.836333333333336</v>
      </c>
      <c r="AS16" s="38">
        <f t="shared" si="26"/>
        <v>45.061500000000002</v>
      </c>
      <c r="AT16" s="38">
        <f t="shared" si="27"/>
        <v>47.872</v>
      </c>
      <c r="AU16" s="38">
        <f t="shared" si="28"/>
        <v>9.9960000000000004</v>
      </c>
      <c r="AV16" s="42">
        <f t="shared" si="29"/>
        <v>234.70916666666668</v>
      </c>
      <c r="AW16" s="167">
        <f t="shared" si="3"/>
        <v>57.239999999999995</v>
      </c>
      <c r="AX16" s="38">
        <f t="shared" si="4"/>
        <v>57.836333333333336</v>
      </c>
      <c r="AY16" s="38">
        <f t="shared" si="30"/>
        <v>45.061500000000002</v>
      </c>
      <c r="AZ16" s="166">
        <f t="shared" si="31"/>
        <v>47.872</v>
      </c>
      <c r="BA16" s="166">
        <f t="shared" si="32"/>
        <v>61.307999999999993</v>
      </c>
      <c r="BB16" s="42">
        <f t="shared" si="33"/>
        <v>269.31783333333334</v>
      </c>
      <c r="BC16" s="243">
        <f t="shared" si="34"/>
        <v>57.239999999999995</v>
      </c>
      <c r="BD16" s="38">
        <f t="shared" si="35"/>
        <v>45.061500000000002</v>
      </c>
      <c r="BE16" s="166">
        <f t="shared" si="36"/>
        <v>61.307999999999993</v>
      </c>
      <c r="BF16" s="166">
        <f t="shared" si="37"/>
        <v>163.6095</v>
      </c>
      <c r="BG16" s="243">
        <f t="shared" si="38"/>
        <v>45.061500000000002</v>
      </c>
      <c r="BH16" s="38">
        <f t="shared" si="5"/>
        <v>98.56</v>
      </c>
      <c r="BI16" s="38">
        <f t="shared" si="39"/>
        <v>103.3425</v>
      </c>
      <c r="BJ16" s="166">
        <f t="shared" si="40"/>
        <v>61.307999999999993</v>
      </c>
      <c r="BK16" s="166">
        <f t="shared" si="41"/>
        <v>180.745</v>
      </c>
      <c r="BL16" s="166">
        <f t="shared" si="42"/>
        <v>105.96300000000001</v>
      </c>
      <c r="BM16" s="42">
        <f t="shared" si="43"/>
        <v>594.98</v>
      </c>
      <c r="BN16" s="167">
        <f t="shared" si="44"/>
        <v>28.619999999999997</v>
      </c>
      <c r="BO16" s="38">
        <f t="shared" si="6"/>
        <v>57.836333333333336</v>
      </c>
      <c r="BP16" s="38">
        <f t="shared" si="45"/>
        <v>103.3425</v>
      </c>
      <c r="BQ16" s="166">
        <f t="shared" si="46"/>
        <v>47.872</v>
      </c>
      <c r="BR16" s="42">
        <f t="shared" si="47"/>
        <v>237.67083333333335</v>
      </c>
    </row>
    <row r="17" spans="1:70" x14ac:dyDescent="0.25">
      <c r="A17" s="232" t="s">
        <v>15</v>
      </c>
      <c r="B17" s="38">
        <v>114.08399999999999</v>
      </c>
      <c r="C17" s="38">
        <v>251.85600000000002</v>
      </c>
      <c r="D17" s="38">
        <v>99.147999999999996</v>
      </c>
      <c r="E17" s="38">
        <v>145.596</v>
      </c>
      <c r="F17" s="38">
        <v>89.531999999999996</v>
      </c>
      <c r="G17" s="38">
        <v>133.44</v>
      </c>
      <c r="H17" s="38">
        <v>344.96</v>
      </c>
      <c r="I17" s="38">
        <v>26.378</v>
      </c>
      <c r="J17" s="38">
        <v>12.765000000000001</v>
      </c>
      <c r="K17" s="38">
        <v>44.44</v>
      </c>
      <c r="L17" s="38">
        <v>0</v>
      </c>
      <c r="M17" s="38">
        <v>18.48</v>
      </c>
      <c r="N17" s="38">
        <v>114.825</v>
      </c>
      <c r="O17" s="38">
        <v>105.468</v>
      </c>
      <c r="P17" s="38">
        <v>114.86799999999999</v>
      </c>
      <c r="Q17" s="38">
        <v>24.815999999999999</v>
      </c>
      <c r="R17" s="50">
        <v>40</v>
      </c>
      <c r="S17" s="38">
        <v>17.135999999999999</v>
      </c>
      <c r="T17" s="38">
        <v>117.50700000000001</v>
      </c>
      <c r="U17" s="38">
        <v>122.125</v>
      </c>
      <c r="V17" s="166">
        <v>72.501000000000005</v>
      </c>
      <c r="W17" s="42">
        <f t="shared" si="7"/>
        <v>2009.9250000000002</v>
      </c>
      <c r="X17" s="243">
        <f t="shared" si="8"/>
        <v>38.027999999999992</v>
      </c>
      <c r="Y17" s="38">
        <f t="shared" si="9"/>
        <v>72.798000000000002</v>
      </c>
      <c r="Z17" s="38">
        <f t="shared" si="10"/>
        <v>89.531999999999996</v>
      </c>
      <c r="AA17" s="38">
        <f t="shared" si="11"/>
        <v>133.44</v>
      </c>
      <c r="AB17" s="38">
        <f t="shared" si="12"/>
        <v>344.96</v>
      </c>
      <c r="AC17" s="38">
        <f t="shared" si="13"/>
        <v>26.378</v>
      </c>
      <c r="AD17" s="38">
        <f t="shared" si="14"/>
        <v>6.3825000000000003</v>
      </c>
      <c r="AE17" s="38">
        <f t="shared" si="15"/>
        <v>22.22</v>
      </c>
      <c r="AF17" s="38">
        <f t="shared" si="16"/>
        <v>57.433999999999997</v>
      </c>
      <c r="AG17" s="38">
        <f t="shared" si="17"/>
        <v>24.815999999999999</v>
      </c>
      <c r="AH17" s="50">
        <f t="shared" si="18"/>
        <v>40</v>
      </c>
      <c r="AI17" s="166">
        <f t="shared" si="0"/>
        <v>855.98850000000016</v>
      </c>
      <c r="AJ17" s="243">
        <f t="shared" si="19"/>
        <v>38.027999999999992</v>
      </c>
      <c r="AK17" s="38">
        <f t="shared" si="20"/>
        <v>72.798000000000002</v>
      </c>
      <c r="AL17" s="38">
        <f t="shared" si="21"/>
        <v>6.3825000000000003</v>
      </c>
      <c r="AM17" s="38">
        <f t="shared" si="22"/>
        <v>22.22</v>
      </c>
      <c r="AN17" s="38">
        <f t="shared" si="23"/>
        <v>57.433999999999997</v>
      </c>
      <c r="AO17" s="38">
        <f t="shared" si="24"/>
        <v>8.5679999999999996</v>
      </c>
      <c r="AP17" s="42">
        <f t="shared" si="25"/>
        <v>205.43049999999999</v>
      </c>
      <c r="AQ17" s="167">
        <f t="shared" si="1"/>
        <v>38.027999999999992</v>
      </c>
      <c r="AR17" s="38">
        <f t="shared" si="2"/>
        <v>33.04933333333333</v>
      </c>
      <c r="AS17" s="38">
        <f t="shared" si="26"/>
        <v>0</v>
      </c>
      <c r="AT17" s="38">
        <f t="shared" si="27"/>
        <v>35.155999999999999</v>
      </c>
      <c r="AU17" s="38">
        <f t="shared" si="28"/>
        <v>8.5679999999999996</v>
      </c>
      <c r="AV17" s="42">
        <f t="shared" si="29"/>
        <v>114.80133333333332</v>
      </c>
      <c r="AW17" s="167">
        <f t="shared" si="3"/>
        <v>125.92800000000001</v>
      </c>
      <c r="AX17" s="38">
        <f t="shared" si="4"/>
        <v>33.04933333333333</v>
      </c>
      <c r="AY17" s="38">
        <f t="shared" si="30"/>
        <v>0</v>
      </c>
      <c r="AZ17" s="166">
        <f t="shared" si="31"/>
        <v>35.155999999999999</v>
      </c>
      <c r="BA17" s="166">
        <f t="shared" si="32"/>
        <v>39.168999999999997</v>
      </c>
      <c r="BB17" s="42">
        <f t="shared" si="33"/>
        <v>233.30233333333337</v>
      </c>
      <c r="BC17" s="243">
        <f t="shared" si="34"/>
        <v>125.92800000000001</v>
      </c>
      <c r="BD17" s="38">
        <f t="shared" si="35"/>
        <v>0</v>
      </c>
      <c r="BE17" s="166">
        <f t="shared" si="36"/>
        <v>39.168999999999997</v>
      </c>
      <c r="BF17" s="166">
        <f t="shared" si="37"/>
        <v>165.09700000000001</v>
      </c>
      <c r="BG17" s="243">
        <f t="shared" si="38"/>
        <v>0</v>
      </c>
      <c r="BH17" s="38">
        <f t="shared" si="5"/>
        <v>18.48</v>
      </c>
      <c r="BI17" s="38">
        <f t="shared" si="39"/>
        <v>57.412500000000001</v>
      </c>
      <c r="BJ17" s="166">
        <f t="shared" si="40"/>
        <v>39.168999999999997</v>
      </c>
      <c r="BK17" s="166">
        <f t="shared" si="41"/>
        <v>122.125</v>
      </c>
      <c r="BL17" s="166">
        <f t="shared" si="42"/>
        <v>72.501000000000005</v>
      </c>
      <c r="BM17" s="42">
        <f t="shared" si="43"/>
        <v>309.6875</v>
      </c>
      <c r="BN17" s="167">
        <f t="shared" si="44"/>
        <v>62.964000000000006</v>
      </c>
      <c r="BO17" s="38">
        <f t="shared" si="6"/>
        <v>33.04933333333333</v>
      </c>
      <c r="BP17" s="38">
        <f t="shared" si="45"/>
        <v>57.412500000000001</v>
      </c>
      <c r="BQ17" s="166">
        <f t="shared" si="46"/>
        <v>35.155999999999999</v>
      </c>
      <c r="BR17" s="42">
        <f t="shared" si="47"/>
        <v>188.58183333333335</v>
      </c>
    </row>
    <row r="18" spans="1:70" x14ac:dyDescent="0.25">
      <c r="A18" s="232" t="s">
        <v>16</v>
      </c>
      <c r="B18" s="38">
        <v>63.38</v>
      </c>
      <c r="C18" s="38">
        <v>64.872</v>
      </c>
      <c r="D18" s="38">
        <v>3.5409999999999999</v>
      </c>
      <c r="E18" s="38">
        <v>62.870999999999995</v>
      </c>
      <c r="F18" s="38">
        <v>28.186000000000003</v>
      </c>
      <c r="G18" s="38">
        <v>110.08800000000001</v>
      </c>
      <c r="H18" s="38">
        <v>155.232</v>
      </c>
      <c r="I18" s="38">
        <v>52.756</v>
      </c>
      <c r="J18" s="38">
        <v>0</v>
      </c>
      <c r="K18" s="38">
        <v>0</v>
      </c>
      <c r="L18" s="38">
        <v>5.4619999999999997</v>
      </c>
      <c r="M18" s="38">
        <v>41.58</v>
      </c>
      <c r="N18" s="38">
        <v>96.453000000000003</v>
      </c>
      <c r="O18" s="38">
        <v>65.076000000000008</v>
      </c>
      <c r="P18" s="38">
        <v>83.096000000000004</v>
      </c>
      <c r="Q18" s="38">
        <v>90.99199999999999</v>
      </c>
      <c r="R18" s="50">
        <v>47.5</v>
      </c>
      <c r="S18" s="38">
        <v>22.847999999999999</v>
      </c>
      <c r="T18" s="38">
        <v>76.634999999999991</v>
      </c>
      <c r="U18" s="38">
        <v>29.310000000000002</v>
      </c>
      <c r="V18" s="166">
        <v>31.603000000000002</v>
      </c>
      <c r="W18" s="42">
        <f t="shared" si="7"/>
        <v>1131.4809999999998</v>
      </c>
      <c r="X18" s="243">
        <f t="shared" si="8"/>
        <v>21.126666666666665</v>
      </c>
      <c r="Y18" s="38">
        <f t="shared" si="9"/>
        <v>31.435499999999998</v>
      </c>
      <c r="Z18" s="38">
        <f t="shared" si="10"/>
        <v>28.186000000000003</v>
      </c>
      <c r="AA18" s="38">
        <f t="shared" si="11"/>
        <v>110.08800000000001</v>
      </c>
      <c r="AB18" s="38">
        <f t="shared" si="12"/>
        <v>155.232</v>
      </c>
      <c r="AC18" s="38">
        <f t="shared" si="13"/>
        <v>52.756</v>
      </c>
      <c r="AD18" s="38">
        <f t="shared" si="14"/>
        <v>0</v>
      </c>
      <c r="AE18" s="38">
        <f t="shared" si="15"/>
        <v>0</v>
      </c>
      <c r="AF18" s="38">
        <f t="shared" si="16"/>
        <v>41.548000000000002</v>
      </c>
      <c r="AG18" s="38">
        <f t="shared" si="17"/>
        <v>90.99199999999999</v>
      </c>
      <c r="AH18" s="50">
        <f t="shared" si="18"/>
        <v>47.5</v>
      </c>
      <c r="AI18" s="166">
        <f t="shared" si="0"/>
        <v>578.86416666666662</v>
      </c>
      <c r="AJ18" s="243">
        <f t="shared" si="19"/>
        <v>21.126666666666665</v>
      </c>
      <c r="AK18" s="38">
        <f t="shared" si="20"/>
        <v>31.435499999999998</v>
      </c>
      <c r="AL18" s="38">
        <f t="shared" si="21"/>
        <v>0</v>
      </c>
      <c r="AM18" s="38">
        <f t="shared" si="22"/>
        <v>0</v>
      </c>
      <c r="AN18" s="38">
        <f t="shared" si="23"/>
        <v>41.548000000000002</v>
      </c>
      <c r="AO18" s="38">
        <f t="shared" si="24"/>
        <v>11.423999999999999</v>
      </c>
      <c r="AP18" s="42">
        <f t="shared" si="25"/>
        <v>105.53416666666666</v>
      </c>
      <c r="AQ18" s="167">
        <f t="shared" si="1"/>
        <v>21.126666666666665</v>
      </c>
      <c r="AR18" s="38">
        <f t="shared" si="2"/>
        <v>1.1803333333333332</v>
      </c>
      <c r="AS18" s="38">
        <f t="shared" si="26"/>
        <v>1.3654999999999999</v>
      </c>
      <c r="AT18" s="38">
        <f t="shared" si="27"/>
        <v>21.692</v>
      </c>
      <c r="AU18" s="38">
        <f t="shared" si="28"/>
        <v>11.423999999999999</v>
      </c>
      <c r="AV18" s="42">
        <f t="shared" si="29"/>
        <v>56.788499999999999</v>
      </c>
      <c r="AW18" s="167">
        <f t="shared" si="3"/>
        <v>32.436</v>
      </c>
      <c r="AX18" s="38">
        <f t="shared" si="4"/>
        <v>1.1803333333333332</v>
      </c>
      <c r="AY18" s="38">
        <f t="shared" si="30"/>
        <v>1.3654999999999999</v>
      </c>
      <c r="AZ18" s="166">
        <f t="shared" si="31"/>
        <v>21.692</v>
      </c>
      <c r="BA18" s="166">
        <f t="shared" si="32"/>
        <v>25.544999999999995</v>
      </c>
      <c r="BB18" s="42">
        <f t="shared" si="33"/>
        <v>82.218833333333322</v>
      </c>
      <c r="BC18" s="243">
        <f t="shared" si="34"/>
        <v>32.436</v>
      </c>
      <c r="BD18" s="38">
        <f t="shared" si="35"/>
        <v>1.3654999999999999</v>
      </c>
      <c r="BE18" s="166">
        <f t="shared" si="36"/>
        <v>25.544999999999995</v>
      </c>
      <c r="BF18" s="166">
        <f t="shared" si="37"/>
        <v>59.346499999999992</v>
      </c>
      <c r="BG18" s="243">
        <f t="shared" si="38"/>
        <v>1.3654999999999999</v>
      </c>
      <c r="BH18" s="38">
        <f t="shared" si="5"/>
        <v>41.58</v>
      </c>
      <c r="BI18" s="38">
        <f t="shared" si="39"/>
        <v>48.226500000000001</v>
      </c>
      <c r="BJ18" s="166">
        <f t="shared" si="40"/>
        <v>25.544999999999995</v>
      </c>
      <c r="BK18" s="166">
        <f t="shared" si="41"/>
        <v>29.310000000000002</v>
      </c>
      <c r="BL18" s="166">
        <f t="shared" si="42"/>
        <v>31.603000000000002</v>
      </c>
      <c r="BM18" s="42">
        <f t="shared" si="43"/>
        <v>177.63</v>
      </c>
      <c r="BN18" s="167">
        <f t="shared" si="44"/>
        <v>16.218</v>
      </c>
      <c r="BO18" s="38">
        <f t="shared" si="6"/>
        <v>1.1803333333333332</v>
      </c>
      <c r="BP18" s="38">
        <f t="shared" si="45"/>
        <v>48.226500000000001</v>
      </c>
      <c r="BQ18" s="166">
        <f t="shared" si="46"/>
        <v>21.692</v>
      </c>
      <c r="BR18" s="42">
        <f t="shared" si="47"/>
        <v>87.316833333333335</v>
      </c>
    </row>
    <row r="19" spans="1:70" x14ac:dyDescent="0.25">
      <c r="A19" s="232" t="s">
        <v>17</v>
      </c>
      <c r="B19" s="38">
        <v>76.055999999999997</v>
      </c>
      <c r="C19" s="38">
        <v>64.872</v>
      </c>
      <c r="D19" s="38">
        <v>31.868999999999996</v>
      </c>
      <c r="E19" s="38">
        <v>43.016999999999996</v>
      </c>
      <c r="F19" s="38">
        <v>18.238</v>
      </c>
      <c r="G19" s="38">
        <v>106.752</v>
      </c>
      <c r="H19" s="38">
        <v>56.055999999999997</v>
      </c>
      <c r="I19" s="38">
        <v>7.194</v>
      </c>
      <c r="J19" s="38">
        <v>0</v>
      </c>
      <c r="K19" s="38">
        <v>0</v>
      </c>
      <c r="L19" s="38">
        <v>21.847999999999999</v>
      </c>
      <c r="M19" s="38">
        <v>32.340000000000003</v>
      </c>
      <c r="N19" s="38">
        <v>133.197</v>
      </c>
      <c r="O19" s="38">
        <v>20.195999999999998</v>
      </c>
      <c r="P19" s="38">
        <v>34.216000000000001</v>
      </c>
      <c r="Q19" s="38">
        <v>18.611999999999998</v>
      </c>
      <c r="R19" s="50">
        <v>32.5</v>
      </c>
      <c r="S19" s="38">
        <v>17.135999999999999</v>
      </c>
      <c r="T19" s="38">
        <v>102.18</v>
      </c>
      <c r="U19" s="38">
        <v>122.125</v>
      </c>
      <c r="V19" s="166">
        <v>40.897999999999996</v>
      </c>
      <c r="W19" s="42">
        <f t="shared" si="7"/>
        <v>979.30200000000002</v>
      </c>
      <c r="X19" s="243">
        <f t="shared" si="8"/>
        <v>25.351999999999997</v>
      </c>
      <c r="Y19" s="38">
        <f t="shared" si="9"/>
        <v>21.508499999999998</v>
      </c>
      <c r="Z19" s="38">
        <f t="shared" si="10"/>
        <v>18.238</v>
      </c>
      <c r="AA19" s="38">
        <f t="shared" si="11"/>
        <v>106.752</v>
      </c>
      <c r="AB19" s="38">
        <f t="shared" si="12"/>
        <v>56.055999999999997</v>
      </c>
      <c r="AC19" s="38">
        <f t="shared" si="13"/>
        <v>7.194</v>
      </c>
      <c r="AD19" s="38">
        <f t="shared" si="14"/>
        <v>0</v>
      </c>
      <c r="AE19" s="38">
        <f t="shared" si="15"/>
        <v>0</v>
      </c>
      <c r="AF19" s="38">
        <f t="shared" si="16"/>
        <v>17.108000000000001</v>
      </c>
      <c r="AG19" s="38">
        <f t="shared" si="17"/>
        <v>18.611999999999998</v>
      </c>
      <c r="AH19" s="50">
        <f t="shared" si="18"/>
        <v>32.5</v>
      </c>
      <c r="AI19" s="166">
        <f t="shared" si="0"/>
        <v>303.32049999999998</v>
      </c>
      <c r="AJ19" s="243">
        <f t="shared" si="19"/>
        <v>25.351999999999997</v>
      </c>
      <c r="AK19" s="38">
        <f t="shared" si="20"/>
        <v>21.508499999999998</v>
      </c>
      <c r="AL19" s="38">
        <f t="shared" si="21"/>
        <v>0</v>
      </c>
      <c r="AM19" s="38">
        <f t="shared" si="22"/>
        <v>0</v>
      </c>
      <c r="AN19" s="38">
        <f t="shared" si="23"/>
        <v>17.108000000000001</v>
      </c>
      <c r="AO19" s="38">
        <f t="shared" si="24"/>
        <v>8.5679999999999996</v>
      </c>
      <c r="AP19" s="42">
        <f t="shared" si="25"/>
        <v>72.53649999999999</v>
      </c>
      <c r="AQ19" s="167">
        <f t="shared" si="1"/>
        <v>25.351999999999997</v>
      </c>
      <c r="AR19" s="38">
        <f t="shared" si="2"/>
        <v>10.622999999999998</v>
      </c>
      <c r="AS19" s="38">
        <f t="shared" si="26"/>
        <v>5.4619999999999997</v>
      </c>
      <c r="AT19" s="38">
        <f t="shared" si="27"/>
        <v>6.7319999999999993</v>
      </c>
      <c r="AU19" s="38">
        <f t="shared" si="28"/>
        <v>8.5679999999999996</v>
      </c>
      <c r="AV19" s="42">
        <f t="shared" si="29"/>
        <v>56.736999999999995</v>
      </c>
      <c r="AW19" s="167">
        <f t="shared" si="3"/>
        <v>32.436</v>
      </c>
      <c r="AX19" s="38">
        <f t="shared" si="4"/>
        <v>10.622999999999998</v>
      </c>
      <c r="AY19" s="38">
        <f t="shared" si="30"/>
        <v>5.4619999999999997</v>
      </c>
      <c r="AZ19" s="166">
        <f t="shared" si="31"/>
        <v>6.7319999999999993</v>
      </c>
      <c r="BA19" s="166">
        <f t="shared" si="32"/>
        <v>34.06</v>
      </c>
      <c r="BB19" s="42">
        <f t="shared" si="33"/>
        <v>89.313000000000002</v>
      </c>
      <c r="BC19" s="243">
        <f t="shared" si="34"/>
        <v>32.436</v>
      </c>
      <c r="BD19" s="38">
        <f t="shared" si="35"/>
        <v>5.4619999999999997</v>
      </c>
      <c r="BE19" s="166">
        <f t="shared" si="36"/>
        <v>34.06</v>
      </c>
      <c r="BF19" s="166">
        <f t="shared" si="37"/>
        <v>71.957999999999998</v>
      </c>
      <c r="BG19" s="243">
        <f t="shared" si="38"/>
        <v>5.4619999999999997</v>
      </c>
      <c r="BH19" s="38">
        <f t="shared" si="5"/>
        <v>32.340000000000003</v>
      </c>
      <c r="BI19" s="38">
        <f t="shared" si="39"/>
        <v>66.598500000000001</v>
      </c>
      <c r="BJ19" s="166">
        <f t="shared" si="40"/>
        <v>34.06</v>
      </c>
      <c r="BK19" s="166">
        <f t="shared" si="41"/>
        <v>122.125</v>
      </c>
      <c r="BL19" s="166">
        <f t="shared" si="42"/>
        <v>40.897999999999996</v>
      </c>
      <c r="BM19" s="42">
        <f t="shared" si="43"/>
        <v>301.48350000000005</v>
      </c>
      <c r="BN19" s="167">
        <f t="shared" si="44"/>
        <v>16.218</v>
      </c>
      <c r="BO19" s="38">
        <f t="shared" si="6"/>
        <v>10.622999999999998</v>
      </c>
      <c r="BP19" s="38">
        <f t="shared" si="45"/>
        <v>66.598500000000001</v>
      </c>
      <c r="BQ19" s="166">
        <f t="shared" si="46"/>
        <v>6.7319999999999993</v>
      </c>
      <c r="BR19" s="42">
        <f t="shared" si="47"/>
        <v>100.17149999999999</v>
      </c>
    </row>
    <row r="20" spans="1:70" x14ac:dyDescent="0.25">
      <c r="A20" s="232" t="s">
        <v>18</v>
      </c>
      <c r="B20" s="38">
        <v>50.704000000000001</v>
      </c>
      <c r="C20" s="38">
        <v>40.068000000000005</v>
      </c>
      <c r="D20" s="38">
        <v>3.5409999999999999</v>
      </c>
      <c r="E20" s="38">
        <v>36.399000000000001</v>
      </c>
      <c r="F20" s="38">
        <v>6.6320000000000006</v>
      </c>
      <c r="G20" s="38">
        <v>13.343999999999999</v>
      </c>
      <c r="H20" s="38">
        <v>90.552000000000007</v>
      </c>
      <c r="I20" s="38">
        <v>35.97</v>
      </c>
      <c r="J20" s="38">
        <v>0</v>
      </c>
      <c r="K20" s="38">
        <v>0</v>
      </c>
      <c r="L20" s="38">
        <v>0</v>
      </c>
      <c r="M20" s="38">
        <v>7.7</v>
      </c>
      <c r="N20" s="38">
        <v>59.708999999999996</v>
      </c>
      <c r="O20" s="38">
        <v>31.416</v>
      </c>
      <c r="P20" s="38">
        <v>7.3319999999999999</v>
      </c>
      <c r="Q20" s="38">
        <v>78.584000000000003</v>
      </c>
      <c r="R20" s="50">
        <v>15</v>
      </c>
      <c r="S20" s="38">
        <v>17.135999999999999</v>
      </c>
      <c r="T20" s="38">
        <v>56.198999999999998</v>
      </c>
      <c r="U20" s="38">
        <v>92.814999999999998</v>
      </c>
      <c r="V20" s="166">
        <v>24.166999999999998</v>
      </c>
      <c r="W20" s="42">
        <f t="shared" si="7"/>
        <v>667.26800000000014</v>
      </c>
      <c r="X20" s="243">
        <f t="shared" si="8"/>
        <v>16.901333333333334</v>
      </c>
      <c r="Y20" s="38">
        <f t="shared" si="9"/>
        <v>18.1995</v>
      </c>
      <c r="Z20" s="38">
        <f t="shared" si="10"/>
        <v>6.6320000000000006</v>
      </c>
      <c r="AA20" s="38">
        <f t="shared" si="11"/>
        <v>13.343999999999999</v>
      </c>
      <c r="AB20" s="38">
        <f t="shared" si="12"/>
        <v>90.552000000000007</v>
      </c>
      <c r="AC20" s="38">
        <f t="shared" si="13"/>
        <v>35.97</v>
      </c>
      <c r="AD20" s="38">
        <f t="shared" si="14"/>
        <v>0</v>
      </c>
      <c r="AE20" s="38">
        <f t="shared" si="15"/>
        <v>0</v>
      </c>
      <c r="AF20" s="38">
        <f t="shared" si="16"/>
        <v>3.6659999999999999</v>
      </c>
      <c r="AG20" s="38">
        <f t="shared" si="17"/>
        <v>78.584000000000003</v>
      </c>
      <c r="AH20" s="50">
        <f t="shared" si="18"/>
        <v>15</v>
      </c>
      <c r="AI20" s="166">
        <f t="shared" si="0"/>
        <v>278.84883333333335</v>
      </c>
      <c r="AJ20" s="243">
        <f t="shared" si="19"/>
        <v>16.901333333333334</v>
      </c>
      <c r="AK20" s="38">
        <f t="shared" si="20"/>
        <v>18.1995</v>
      </c>
      <c r="AL20" s="38">
        <f t="shared" si="21"/>
        <v>0</v>
      </c>
      <c r="AM20" s="38">
        <f t="shared" si="22"/>
        <v>0</v>
      </c>
      <c r="AN20" s="38">
        <f t="shared" si="23"/>
        <v>3.6659999999999999</v>
      </c>
      <c r="AO20" s="38">
        <f t="shared" si="24"/>
        <v>8.5679999999999996</v>
      </c>
      <c r="AP20" s="42">
        <f t="shared" si="25"/>
        <v>47.334833333333329</v>
      </c>
      <c r="AQ20" s="167">
        <f t="shared" si="1"/>
        <v>16.901333333333334</v>
      </c>
      <c r="AR20" s="38">
        <f t="shared" si="2"/>
        <v>1.1803333333333332</v>
      </c>
      <c r="AS20" s="38">
        <f t="shared" si="26"/>
        <v>0</v>
      </c>
      <c r="AT20" s="38">
        <f t="shared" si="27"/>
        <v>10.472</v>
      </c>
      <c r="AU20" s="38">
        <f t="shared" si="28"/>
        <v>8.5679999999999996</v>
      </c>
      <c r="AV20" s="42">
        <f t="shared" si="29"/>
        <v>37.121666666666663</v>
      </c>
      <c r="AW20" s="167">
        <f t="shared" si="3"/>
        <v>20.034000000000002</v>
      </c>
      <c r="AX20" s="38">
        <f t="shared" si="4"/>
        <v>1.1803333333333332</v>
      </c>
      <c r="AY20" s="38">
        <f t="shared" si="30"/>
        <v>0</v>
      </c>
      <c r="AZ20" s="166">
        <f t="shared" si="31"/>
        <v>10.472</v>
      </c>
      <c r="BA20" s="166">
        <f t="shared" si="32"/>
        <v>18.732999999999997</v>
      </c>
      <c r="BB20" s="42">
        <f t="shared" si="33"/>
        <v>50.419333333333334</v>
      </c>
      <c r="BC20" s="243">
        <f t="shared" si="34"/>
        <v>20.034000000000002</v>
      </c>
      <c r="BD20" s="38">
        <f t="shared" si="35"/>
        <v>0</v>
      </c>
      <c r="BE20" s="166">
        <f t="shared" si="36"/>
        <v>18.732999999999997</v>
      </c>
      <c r="BF20" s="166">
        <f t="shared" si="37"/>
        <v>38.766999999999996</v>
      </c>
      <c r="BG20" s="243">
        <f t="shared" si="38"/>
        <v>0</v>
      </c>
      <c r="BH20" s="38">
        <f t="shared" si="5"/>
        <v>7.7</v>
      </c>
      <c r="BI20" s="38">
        <f t="shared" si="39"/>
        <v>29.854499999999998</v>
      </c>
      <c r="BJ20" s="166">
        <f t="shared" si="40"/>
        <v>18.732999999999997</v>
      </c>
      <c r="BK20" s="166">
        <f t="shared" si="41"/>
        <v>92.814999999999998</v>
      </c>
      <c r="BL20" s="166">
        <f t="shared" si="42"/>
        <v>24.166999999999998</v>
      </c>
      <c r="BM20" s="42">
        <f t="shared" si="43"/>
        <v>173.26949999999999</v>
      </c>
      <c r="BN20" s="167">
        <f t="shared" si="44"/>
        <v>10.017000000000001</v>
      </c>
      <c r="BO20" s="38">
        <f t="shared" si="6"/>
        <v>1.1803333333333332</v>
      </c>
      <c r="BP20" s="38">
        <f t="shared" si="45"/>
        <v>29.854499999999998</v>
      </c>
      <c r="BQ20" s="166">
        <f t="shared" si="46"/>
        <v>10.472</v>
      </c>
      <c r="BR20" s="42">
        <f t="shared" si="47"/>
        <v>51.523833333333336</v>
      </c>
    </row>
    <row r="21" spans="1:70" x14ac:dyDescent="0.25">
      <c r="A21" s="232" t="s">
        <v>19</v>
      </c>
      <c r="B21" s="38">
        <v>63.38</v>
      </c>
      <c r="C21" s="38">
        <v>30.528000000000002</v>
      </c>
      <c r="D21" s="38">
        <v>10.623000000000001</v>
      </c>
      <c r="E21" s="38">
        <v>33.090000000000003</v>
      </c>
      <c r="F21" s="38">
        <v>18.238</v>
      </c>
      <c r="G21" s="38">
        <v>23.352</v>
      </c>
      <c r="H21" s="38">
        <v>176.792</v>
      </c>
      <c r="I21" s="38">
        <v>57.552</v>
      </c>
      <c r="J21" s="38">
        <v>0</v>
      </c>
      <c r="K21" s="38">
        <v>0</v>
      </c>
      <c r="L21" s="38">
        <v>5.4619999999999997</v>
      </c>
      <c r="M21" s="38">
        <v>7.7</v>
      </c>
      <c r="N21" s="38">
        <v>55.116</v>
      </c>
      <c r="O21" s="38">
        <v>33.659999999999997</v>
      </c>
      <c r="P21" s="38">
        <v>9.7759999999999998</v>
      </c>
      <c r="Q21" s="38">
        <v>26.884</v>
      </c>
      <c r="R21" s="50">
        <v>47.5</v>
      </c>
      <c r="S21" s="38">
        <v>57.120000000000005</v>
      </c>
      <c r="T21" s="38">
        <v>148.161</v>
      </c>
      <c r="U21" s="38">
        <v>102.58500000000001</v>
      </c>
      <c r="V21" s="166">
        <v>79.936999999999998</v>
      </c>
      <c r="W21" s="42">
        <f t="shared" si="7"/>
        <v>987.45600000000002</v>
      </c>
      <c r="X21" s="243">
        <f t="shared" si="8"/>
        <v>21.126666666666665</v>
      </c>
      <c r="Y21" s="38">
        <f t="shared" si="9"/>
        <v>16.545000000000002</v>
      </c>
      <c r="Z21" s="38">
        <f t="shared" si="10"/>
        <v>18.238</v>
      </c>
      <c r="AA21" s="38">
        <f t="shared" si="11"/>
        <v>23.352</v>
      </c>
      <c r="AB21" s="38">
        <f t="shared" si="12"/>
        <v>176.792</v>
      </c>
      <c r="AC21" s="38">
        <f t="shared" si="13"/>
        <v>57.552</v>
      </c>
      <c r="AD21" s="38">
        <f t="shared" si="14"/>
        <v>0</v>
      </c>
      <c r="AE21" s="38">
        <f t="shared" si="15"/>
        <v>0</v>
      </c>
      <c r="AF21" s="38">
        <f t="shared" si="16"/>
        <v>4.8879999999999999</v>
      </c>
      <c r="AG21" s="38">
        <f t="shared" si="17"/>
        <v>26.884</v>
      </c>
      <c r="AH21" s="50">
        <f t="shared" si="18"/>
        <v>47.5</v>
      </c>
      <c r="AI21" s="166">
        <f t="shared" si="0"/>
        <v>392.8776666666667</v>
      </c>
      <c r="AJ21" s="243">
        <f t="shared" si="19"/>
        <v>21.126666666666665</v>
      </c>
      <c r="AK21" s="38">
        <f t="shared" si="20"/>
        <v>16.545000000000002</v>
      </c>
      <c r="AL21" s="38">
        <f t="shared" si="21"/>
        <v>0</v>
      </c>
      <c r="AM21" s="38">
        <f t="shared" si="22"/>
        <v>0</v>
      </c>
      <c r="AN21" s="38">
        <f t="shared" si="23"/>
        <v>4.8879999999999999</v>
      </c>
      <c r="AO21" s="38">
        <f t="shared" si="24"/>
        <v>28.560000000000002</v>
      </c>
      <c r="AP21" s="42">
        <f t="shared" si="25"/>
        <v>71.11966666666666</v>
      </c>
      <c r="AQ21" s="167">
        <f t="shared" si="1"/>
        <v>21.126666666666665</v>
      </c>
      <c r="AR21" s="38">
        <f t="shared" si="2"/>
        <v>3.5410000000000004</v>
      </c>
      <c r="AS21" s="38">
        <f t="shared" si="26"/>
        <v>1.3654999999999999</v>
      </c>
      <c r="AT21" s="38">
        <f t="shared" si="27"/>
        <v>11.219999999999999</v>
      </c>
      <c r="AU21" s="38">
        <f t="shared" si="28"/>
        <v>28.560000000000002</v>
      </c>
      <c r="AV21" s="42">
        <f t="shared" si="29"/>
        <v>65.81316666666666</v>
      </c>
      <c r="AW21" s="167">
        <f t="shared" si="3"/>
        <v>15.264000000000001</v>
      </c>
      <c r="AX21" s="38">
        <f t="shared" si="4"/>
        <v>3.5410000000000004</v>
      </c>
      <c r="AY21" s="38">
        <f t="shared" si="30"/>
        <v>1.3654999999999999</v>
      </c>
      <c r="AZ21" s="166">
        <f t="shared" si="31"/>
        <v>11.219999999999999</v>
      </c>
      <c r="BA21" s="166">
        <f t="shared" si="32"/>
        <v>49.387</v>
      </c>
      <c r="BB21" s="42">
        <f t="shared" si="33"/>
        <v>80.777500000000003</v>
      </c>
      <c r="BC21" s="243">
        <f t="shared" si="34"/>
        <v>15.264000000000001</v>
      </c>
      <c r="BD21" s="38">
        <f t="shared" si="35"/>
        <v>1.3654999999999999</v>
      </c>
      <c r="BE21" s="166">
        <f t="shared" si="36"/>
        <v>49.387</v>
      </c>
      <c r="BF21" s="166">
        <f t="shared" si="37"/>
        <v>66.016500000000008</v>
      </c>
      <c r="BG21" s="243">
        <f t="shared" si="38"/>
        <v>1.3654999999999999</v>
      </c>
      <c r="BH21" s="38">
        <f t="shared" si="5"/>
        <v>7.7</v>
      </c>
      <c r="BI21" s="38">
        <f t="shared" si="39"/>
        <v>27.558</v>
      </c>
      <c r="BJ21" s="166">
        <f t="shared" si="40"/>
        <v>49.387</v>
      </c>
      <c r="BK21" s="166">
        <f t="shared" si="41"/>
        <v>102.58500000000001</v>
      </c>
      <c r="BL21" s="166">
        <f t="shared" si="42"/>
        <v>79.936999999999998</v>
      </c>
      <c r="BM21" s="42">
        <f t="shared" si="43"/>
        <v>268.53250000000003</v>
      </c>
      <c r="BN21" s="167">
        <f t="shared" si="44"/>
        <v>7.6320000000000006</v>
      </c>
      <c r="BO21" s="38">
        <f t="shared" si="6"/>
        <v>3.5410000000000004</v>
      </c>
      <c r="BP21" s="38">
        <f t="shared" si="45"/>
        <v>27.558</v>
      </c>
      <c r="BQ21" s="166">
        <f t="shared" si="46"/>
        <v>11.219999999999999</v>
      </c>
      <c r="BR21" s="42">
        <f t="shared" si="47"/>
        <v>49.951000000000001</v>
      </c>
    </row>
    <row r="22" spans="1:70" x14ac:dyDescent="0.25">
      <c r="A22" s="232" t="s">
        <v>29</v>
      </c>
      <c r="B22" s="38">
        <f>SUM(B8:B21)</f>
        <v>2776.0440000000003</v>
      </c>
      <c r="C22" s="38">
        <f t="shared" ref="C22:V22" si="48">SUM(C8:C21)</f>
        <v>1776.3480000000002</v>
      </c>
      <c r="D22" s="38">
        <f t="shared" si="48"/>
        <v>2560.1430000000009</v>
      </c>
      <c r="E22" s="38">
        <f t="shared" si="48"/>
        <v>2461.8959999999997</v>
      </c>
      <c r="F22" s="38">
        <f t="shared" si="48"/>
        <v>1129.098</v>
      </c>
      <c r="G22" s="38">
        <f t="shared" si="48"/>
        <v>2812.2479999999996</v>
      </c>
      <c r="H22" s="38">
        <f t="shared" si="48"/>
        <v>3436.6640000000002</v>
      </c>
      <c r="I22" s="38">
        <f t="shared" si="48"/>
        <v>2047.8920000000001</v>
      </c>
      <c r="J22" s="38">
        <f t="shared" si="48"/>
        <v>1063.7500000000002</v>
      </c>
      <c r="K22" s="38">
        <f t="shared" si="48"/>
        <v>2586.4079999999999</v>
      </c>
      <c r="L22" s="38">
        <f t="shared" si="48"/>
        <v>4555.3080000000018</v>
      </c>
      <c r="M22" s="38">
        <f t="shared" si="48"/>
        <v>1179.6399999999999</v>
      </c>
      <c r="N22" s="38">
        <f t="shared" si="48"/>
        <v>3164.5769999999993</v>
      </c>
      <c r="O22" s="38">
        <f t="shared" si="48"/>
        <v>1604.46</v>
      </c>
      <c r="P22" s="38">
        <f>SUM(P8:P21)</f>
        <v>1811.0039999999999</v>
      </c>
      <c r="Q22" s="38">
        <f>SUM(Q8:Q21)</f>
        <v>1631.652</v>
      </c>
      <c r="R22" s="50">
        <f t="shared" si="48"/>
        <v>1840</v>
      </c>
      <c r="S22" s="38">
        <f t="shared" si="48"/>
        <v>2581.8240000000001</v>
      </c>
      <c r="T22" s="38">
        <f t="shared" si="48"/>
        <v>4000.3469999999998</v>
      </c>
      <c r="U22" s="38">
        <f t="shared" si="48"/>
        <v>3502.5450000000001</v>
      </c>
      <c r="V22" s="38">
        <f t="shared" si="48"/>
        <v>1487.1999999999998</v>
      </c>
      <c r="W22" s="42">
        <f t="shared" si="7"/>
        <v>50009.047999999995</v>
      </c>
      <c r="X22" s="243">
        <f t="shared" si="8"/>
        <v>925.34800000000007</v>
      </c>
      <c r="Y22" s="38">
        <f t="shared" si="9"/>
        <v>1230.9479999999999</v>
      </c>
      <c r="Z22" s="38">
        <f t="shared" si="10"/>
        <v>1129.098</v>
      </c>
      <c r="AA22" s="38">
        <f t="shared" si="11"/>
        <v>2812.2479999999996</v>
      </c>
      <c r="AB22" s="38">
        <f t="shared" si="12"/>
        <v>3436.6640000000002</v>
      </c>
      <c r="AC22" s="38">
        <f t="shared" si="13"/>
        <v>2047.8920000000001</v>
      </c>
      <c r="AD22" s="38">
        <f t="shared" si="14"/>
        <v>531.87500000000011</v>
      </c>
      <c r="AE22" s="38">
        <f t="shared" si="15"/>
        <v>1293.204</v>
      </c>
      <c r="AF22" s="38">
        <f t="shared" si="16"/>
        <v>905.50199999999995</v>
      </c>
      <c r="AG22" s="38">
        <f t="shared" si="17"/>
        <v>1631.652</v>
      </c>
      <c r="AH22" s="50">
        <f t="shared" si="18"/>
        <v>1840</v>
      </c>
      <c r="AI22" s="166">
        <f t="shared" si="0"/>
        <v>17784.431</v>
      </c>
      <c r="AJ22" s="243">
        <f t="shared" si="19"/>
        <v>925.34800000000007</v>
      </c>
      <c r="AK22" s="38">
        <f t="shared" si="20"/>
        <v>1230.9479999999999</v>
      </c>
      <c r="AL22" s="38">
        <f t="shared" si="21"/>
        <v>531.87500000000011</v>
      </c>
      <c r="AM22" s="38">
        <f t="shared" si="22"/>
        <v>1293.204</v>
      </c>
      <c r="AN22" s="38">
        <f t="shared" si="23"/>
        <v>905.50199999999995</v>
      </c>
      <c r="AO22" s="38">
        <f t="shared" si="24"/>
        <v>1290.912</v>
      </c>
      <c r="AP22" s="42">
        <f t="shared" si="25"/>
        <v>6177.7890000000007</v>
      </c>
      <c r="AQ22" s="167">
        <f t="shared" si="1"/>
        <v>925.34800000000007</v>
      </c>
      <c r="AR22" s="38">
        <f t="shared" si="2"/>
        <v>853.38100000000031</v>
      </c>
      <c r="AS22" s="38">
        <f t="shared" si="26"/>
        <v>1138.8270000000005</v>
      </c>
      <c r="AT22" s="38">
        <f t="shared" si="27"/>
        <v>534.81999999999994</v>
      </c>
      <c r="AU22" s="38">
        <f t="shared" si="28"/>
        <v>1290.912</v>
      </c>
      <c r="AV22" s="42">
        <f t="shared" si="29"/>
        <v>4743.2880000000005</v>
      </c>
      <c r="AW22" s="167">
        <f t="shared" si="3"/>
        <v>888.17400000000009</v>
      </c>
      <c r="AX22" s="38">
        <f t="shared" si="4"/>
        <v>853.38100000000031</v>
      </c>
      <c r="AY22" s="38">
        <f t="shared" si="30"/>
        <v>1138.8270000000005</v>
      </c>
      <c r="AZ22" s="166">
        <f t="shared" si="31"/>
        <v>534.81999999999994</v>
      </c>
      <c r="BA22" s="166">
        <f t="shared" si="32"/>
        <v>1333.4489999999998</v>
      </c>
      <c r="BB22" s="42">
        <f t="shared" si="33"/>
        <v>4748.6509999999998</v>
      </c>
      <c r="BC22" s="243">
        <f t="shared" si="34"/>
        <v>888.17400000000009</v>
      </c>
      <c r="BD22" s="38">
        <f t="shared" si="35"/>
        <v>1138.8270000000005</v>
      </c>
      <c r="BE22" s="166">
        <f t="shared" si="36"/>
        <v>1333.4489999999998</v>
      </c>
      <c r="BF22" s="166">
        <f t="shared" si="37"/>
        <v>3360.4500000000007</v>
      </c>
      <c r="BG22" s="243">
        <f t="shared" si="38"/>
        <v>1138.8270000000005</v>
      </c>
      <c r="BH22" s="38">
        <f t="shared" si="5"/>
        <v>1179.6399999999999</v>
      </c>
      <c r="BI22" s="38">
        <f t="shared" si="39"/>
        <v>1582.2884999999997</v>
      </c>
      <c r="BJ22" s="166">
        <f t="shared" si="40"/>
        <v>1333.4489999999998</v>
      </c>
      <c r="BK22" s="166">
        <f t="shared" si="41"/>
        <v>3502.5450000000001</v>
      </c>
      <c r="BL22" s="166">
        <f t="shared" si="42"/>
        <v>1487.1999999999998</v>
      </c>
      <c r="BM22" s="42">
        <f t="shared" si="43"/>
        <v>10223.949499999999</v>
      </c>
      <c r="BN22" s="167">
        <f t="shared" si="44"/>
        <v>444.08700000000005</v>
      </c>
      <c r="BO22" s="38">
        <f t="shared" si="6"/>
        <v>853.38100000000031</v>
      </c>
      <c r="BP22" s="38">
        <f t="shared" si="45"/>
        <v>1582.2884999999997</v>
      </c>
      <c r="BQ22" s="166">
        <f t="shared" si="46"/>
        <v>534.81999999999994</v>
      </c>
      <c r="BR22" s="42">
        <f t="shared" si="47"/>
        <v>3414.5765000000001</v>
      </c>
    </row>
    <row r="23" spans="1:70" x14ac:dyDescent="0.25">
      <c r="A23" s="232" t="s">
        <v>21</v>
      </c>
      <c r="B23" s="38">
        <v>1600</v>
      </c>
      <c r="C23" s="38">
        <v>1124</v>
      </c>
      <c r="D23" s="38">
        <v>1883</v>
      </c>
      <c r="E23" s="38">
        <v>1678</v>
      </c>
      <c r="F23" s="38">
        <v>701</v>
      </c>
      <c r="G23" s="38">
        <v>1600</v>
      </c>
      <c r="H23" s="38">
        <v>2064</v>
      </c>
      <c r="I23" s="38">
        <v>1356</v>
      </c>
      <c r="J23" s="38">
        <v>2036</v>
      </c>
      <c r="K23" s="38">
        <v>2041</v>
      </c>
      <c r="L23" s="38">
        <v>2695</v>
      </c>
      <c r="M23" s="38">
        <v>668</v>
      </c>
      <c r="N23" s="38">
        <v>1956</v>
      </c>
      <c r="O23" s="38">
        <v>1103</v>
      </c>
      <c r="P23" s="38">
        <v>1281</v>
      </c>
      <c r="Q23" s="38">
        <v>1057</v>
      </c>
      <c r="R23" s="206">
        <v>1291</v>
      </c>
      <c r="S23" s="38">
        <v>2079</v>
      </c>
      <c r="T23" s="38">
        <v>2403</v>
      </c>
      <c r="U23" s="38">
        <v>2707</v>
      </c>
      <c r="V23" s="166">
        <v>917</v>
      </c>
      <c r="W23" s="42">
        <f t="shared" si="7"/>
        <v>34240</v>
      </c>
      <c r="X23" s="243">
        <f t="shared" si="8"/>
        <v>533.33333333333326</v>
      </c>
      <c r="Y23" s="38">
        <f t="shared" si="9"/>
        <v>839</v>
      </c>
      <c r="Z23" s="38">
        <f t="shared" si="10"/>
        <v>701</v>
      </c>
      <c r="AA23" s="38">
        <f t="shared" si="11"/>
        <v>1600</v>
      </c>
      <c r="AB23" s="38">
        <f t="shared" si="12"/>
        <v>2064</v>
      </c>
      <c r="AC23" s="38">
        <f t="shared" si="13"/>
        <v>1356</v>
      </c>
      <c r="AD23" s="38">
        <f t="shared" si="14"/>
        <v>1018</v>
      </c>
      <c r="AE23" s="38">
        <f t="shared" si="15"/>
        <v>1020.5</v>
      </c>
      <c r="AF23" s="38">
        <f t="shared" si="16"/>
        <v>640.5</v>
      </c>
      <c r="AG23" s="38">
        <f t="shared" si="17"/>
        <v>1057</v>
      </c>
      <c r="AH23" s="206">
        <f t="shared" si="18"/>
        <v>1291</v>
      </c>
      <c r="AI23" s="166">
        <f t="shared" si="0"/>
        <v>12120.333333333332</v>
      </c>
      <c r="AJ23" s="243">
        <f t="shared" si="19"/>
        <v>533.33333333333326</v>
      </c>
      <c r="AK23" s="38">
        <f t="shared" si="20"/>
        <v>839</v>
      </c>
      <c r="AL23" s="38">
        <f t="shared" si="21"/>
        <v>1018</v>
      </c>
      <c r="AM23" s="38">
        <f t="shared" si="22"/>
        <v>1020.5</v>
      </c>
      <c r="AN23" s="38">
        <f t="shared" si="23"/>
        <v>640.5</v>
      </c>
      <c r="AO23" s="38">
        <f t="shared" si="24"/>
        <v>1039.5</v>
      </c>
      <c r="AP23" s="42">
        <f t="shared" si="25"/>
        <v>5090.833333333333</v>
      </c>
      <c r="AQ23" s="167">
        <f t="shared" si="1"/>
        <v>533.33333333333326</v>
      </c>
      <c r="AR23" s="38">
        <f t="shared" si="2"/>
        <v>627.66666666666663</v>
      </c>
      <c r="AS23" s="38">
        <f t="shared" si="26"/>
        <v>673.75</v>
      </c>
      <c r="AT23" s="38">
        <f t="shared" si="27"/>
        <v>367.66666666666663</v>
      </c>
      <c r="AU23" s="38">
        <f t="shared" si="28"/>
        <v>1039.5</v>
      </c>
      <c r="AV23" s="42">
        <f t="shared" si="29"/>
        <v>3241.9166666666665</v>
      </c>
      <c r="AW23" s="167">
        <f t="shared" si="3"/>
        <v>562</v>
      </c>
      <c r="AX23" s="38">
        <f t="shared" si="4"/>
        <v>627.66666666666663</v>
      </c>
      <c r="AY23" s="38">
        <f t="shared" si="30"/>
        <v>673.75</v>
      </c>
      <c r="AZ23" s="166">
        <f t="shared" si="31"/>
        <v>367.66666666666663</v>
      </c>
      <c r="BA23" s="166">
        <f t="shared" si="32"/>
        <v>801</v>
      </c>
      <c r="BB23" s="42">
        <f t="shared" si="33"/>
        <v>3032.083333333333</v>
      </c>
      <c r="BC23" s="243">
        <f t="shared" si="34"/>
        <v>562</v>
      </c>
      <c r="BD23" s="38">
        <f t="shared" si="35"/>
        <v>673.75</v>
      </c>
      <c r="BE23" s="166">
        <f t="shared" si="36"/>
        <v>801</v>
      </c>
      <c r="BF23" s="166">
        <f t="shared" si="37"/>
        <v>2036.75</v>
      </c>
      <c r="BG23" s="243">
        <f t="shared" si="38"/>
        <v>673.75</v>
      </c>
      <c r="BH23" s="38">
        <f t="shared" si="5"/>
        <v>668</v>
      </c>
      <c r="BI23" s="38">
        <f t="shared" si="39"/>
        <v>978</v>
      </c>
      <c r="BJ23" s="166">
        <f t="shared" si="40"/>
        <v>801</v>
      </c>
      <c r="BK23" s="166">
        <f t="shared" si="41"/>
        <v>2707</v>
      </c>
      <c r="BL23" s="166">
        <f t="shared" si="42"/>
        <v>917</v>
      </c>
      <c r="BM23" s="42">
        <f t="shared" si="43"/>
        <v>6744.75</v>
      </c>
      <c r="BN23" s="167">
        <f t="shared" si="44"/>
        <v>281</v>
      </c>
      <c r="BO23" s="38">
        <f t="shared" si="6"/>
        <v>627.66666666666663</v>
      </c>
      <c r="BP23" s="38">
        <f t="shared" si="45"/>
        <v>978</v>
      </c>
      <c r="BQ23" s="166">
        <f t="shared" si="46"/>
        <v>367.66666666666663</v>
      </c>
      <c r="BR23" s="42">
        <f t="shared" si="47"/>
        <v>2254.333333333333</v>
      </c>
    </row>
    <row r="24" spans="1:70" x14ac:dyDescent="0.25">
      <c r="A24" s="232" t="s">
        <v>22</v>
      </c>
      <c r="B24" s="38">
        <v>1569</v>
      </c>
      <c r="C24" s="38">
        <v>784</v>
      </c>
      <c r="D24" s="38">
        <v>1658</v>
      </c>
      <c r="E24" s="38">
        <v>1631</v>
      </c>
      <c r="F24" s="38">
        <v>957</v>
      </c>
      <c r="G24" s="38">
        <v>1736</v>
      </c>
      <c r="H24" s="38">
        <v>2248</v>
      </c>
      <c r="I24" s="38">
        <v>1042</v>
      </c>
      <c r="J24" s="38">
        <v>2219</v>
      </c>
      <c r="K24" s="38">
        <v>2403</v>
      </c>
      <c r="L24" s="38">
        <v>2767</v>
      </c>
      <c r="M24" s="38">
        <v>872</v>
      </c>
      <c r="N24" s="38">
        <v>2637</v>
      </c>
      <c r="O24" s="38">
        <v>1141</v>
      </c>
      <c r="P24" s="38">
        <v>1163</v>
      </c>
      <c r="Q24" s="38">
        <v>1011</v>
      </c>
      <c r="R24" s="206">
        <v>1209</v>
      </c>
      <c r="S24" s="38">
        <v>777</v>
      </c>
      <c r="T24" s="38">
        <v>2706</v>
      </c>
      <c r="U24" s="38">
        <v>2178</v>
      </c>
      <c r="V24" s="166">
        <v>942</v>
      </c>
      <c r="W24" s="42">
        <f t="shared" si="7"/>
        <v>33650</v>
      </c>
      <c r="X24" s="243">
        <f t="shared" si="8"/>
        <v>523</v>
      </c>
      <c r="Y24" s="38">
        <f t="shared" si="9"/>
        <v>815.5</v>
      </c>
      <c r="Z24" s="38">
        <f t="shared" si="10"/>
        <v>957</v>
      </c>
      <c r="AA24" s="38">
        <f t="shared" si="11"/>
        <v>1736</v>
      </c>
      <c r="AB24" s="38">
        <f t="shared" si="12"/>
        <v>2248</v>
      </c>
      <c r="AC24" s="38">
        <f t="shared" si="13"/>
        <v>1042</v>
      </c>
      <c r="AD24" s="38">
        <f t="shared" si="14"/>
        <v>1109.5</v>
      </c>
      <c r="AE24" s="38">
        <f t="shared" si="15"/>
        <v>1201.5</v>
      </c>
      <c r="AF24" s="38">
        <f t="shared" si="16"/>
        <v>581.5</v>
      </c>
      <c r="AG24" s="38">
        <f t="shared" si="17"/>
        <v>1011</v>
      </c>
      <c r="AH24" s="206">
        <f t="shared" si="18"/>
        <v>1209</v>
      </c>
      <c r="AI24" s="166">
        <f t="shared" si="0"/>
        <v>12434</v>
      </c>
      <c r="AJ24" s="243">
        <f t="shared" si="19"/>
        <v>523</v>
      </c>
      <c r="AK24" s="38">
        <f t="shared" si="20"/>
        <v>815.5</v>
      </c>
      <c r="AL24" s="38">
        <f t="shared" si="21"/>
        <v>1109.5</v>
      </c>
      <c r="AM24" s="38">
        <f t="shared" si="22"/>
        <v>1201.5</v>
      </c>
      <c r="AN24" s="38">
        <f t="shared" si="23"/>
        <v>581.5</v>
      </c>
      <c r="AO24" s="38">
        <f t="shared" si="24"/>
        <v>388.5</v>
      </c>
      <c r="AP24" s="42">
        <f t="shared" si="25"/>
        <v>4619.5</v>
      </c>
      <c r="AQ24" s="167">
        <f t="shared" si="1"/>
        <v>523</v>
      </c>
      <c r="AR24" s="38">
        <f t="shared" si="2"/>
        <v>552.66666666666663</v>
      </c>
      <c r="AS24" s="38">
        <f t="shared" si="26"/>
        <v>691.75</v>
      </c>
      <c r="AT24" s="38">
        <f t="shared" si="27"/>
        <v>380.33333333333331</v>
      </c>
      <c r="AU24" s="38">
        <f t="shared" si="28"/>
        <v>388.5</v>
      </c>
      <c r="AV24" s="42">
        <f t="shared" si="29"/>
        <v>2536.25</v>
      </c>
      <c r="AW24" s="167">
        <f t="shared" si="3"/>
        <v>392</v>
      </c>
      <c r="AX24" s="38">
        <f t="shared" si="4"/>
        <v>552.66666666666663</v>
      </c>
      <c r="AY24" s="38">
        <f t="shared" si="30"/>
        <v>691.75</v>
      </c>
      <c r="AZ24" s="166">
        <f t="shared" si="31"/>
        <v>380.33333333333331</v>
      </c>
      <c r="BA24" s="166">
        <f t="shared" si="32"/>
        <v>902</v>
      </c>
      <c r="BB24" s="42">
        <f t="shared" si="33"/>
        <v>2918.75</v>
      </c>
      <c r="BC24" s="243">
        <f t="shared" si="34"/>
        <v>392</v>
      </c>
      <c r="BD24" s="38">
        <f t="shared" si="35"/>
        <v>691.75</v>
      </c>
      <c r="BE24" s="166">
        <f t="shared" si="36"/>
        <v>902</v>
      </c>
      <c r="BF24" s="166">
        <f t="shared" si="37"/>
        <v>1985.75</v>
      </c>
      <c r="BG24" s="243">
        <f t="shared" si="38"/>
        <v>691.75</v>
      </c>
      <c r="BH24" s="38">
        <f t="shared" si="5"/>
        <v>872</v>
      </c>
      <c r="BI24" s="38">
        <f t="shared" si="39"/>
        <v>1318.5</v>
      </c>
      <c r="BJ24" s="166">
        <f t="shared" si="40"/>
        <v>902</v>
      </c>
      <c r="BK24" s="166">
        <f t="shared" si="41"/>
        <v>2178</v>
      </c>
      <c r="BL24" s="166">
        <f t="shared" si="42"/>
        <v>942</v>
      </c>
      <c r="BM24" s="42">
        <f t="shared" si="43"/>
        <v>6904.25</v>
      </c>
      <c r="BN24" s="167">
        <f t="shared" si="44"/>
        <v>196</v>
      </c>
      <c r="BO24" s="38">
        <f t="shared" si="6"/>
        <v>552.66666666666663</v>
      </c>
      <c r="BP24" s="38">
        <f t="shared" si="45"/>
        <v>1318.5</v>
      </c>
      <c r="BQ24" s="166">
        <f t="shared" si="46"/>
        <v>380.33333333333331</v>
      </c>
      <c r="BR24" s="42">
        <f t="shared" si="47"/>
        <v>2447.5</v>
      </c>
    </row>
    <row r="25" spans="1:70" x14ac:dyDescent="0.25">
      <c r="A25" s="232" t="s">
        <v>507</v>
      </c>
      <c r="B25" s="38">
        <v>2417</v>
      </c>
      <c r="C25" s="38">
        <v>1449</v>
      </c>
      <c r="D25" s="38">
        <v>2206</v>
      </c>
      <c r="E25" s="38">
        <v>978</v>
      </c>
      <c r="F25" s="38">
        <v>875</v>
      </c>
      <c r="G25" s="38">
        <v>3102</v>
      </c>
      <c r="H25" s="38">
        <v>4308</v>
      </c>
      <c r="I25" s="38">
        <v>2125</v>
      </c>
      <c r="J25" s="38">
        <v>3236</v>
      </c>
      <c r="K25" s="38">
        <v>3538</v>
      </c>
      <c r="L25" s="38">
        <v>4064</v>
      </c>
      <c r="M25" s="38">
        <v>1000</v>
      </c>
      <c r="N25" s="38">
        <v>1570</v>
      </c>
      <c r="O25" s="38">
        <v>1468</v>
      </c>
      <c r="P25" s="38">
        <v>1629</v>
      </c>
      <c r="Q25" s="38">
        <v>1869</v>
      </c>
      <c r="R25" s="50">
        <v>1947</v>
      </c>
      <c r="S25" s="38">
        <v>2125</v>
      </c>
      <c r="T25" s="38">
        <v>3387</v>
      </c>
      <c r="U25" s="38">
        <v>2154</v>
      </c>
      <c r="V25" s="166">
        <v>1330</v>
      </c>
      <c r="W25" s="42">
        <f t="shared" si="7"/>
        <v>46777</v>
      </c>
      <c r="X25" s="243">
        <f t="shared" si="8"/>
        <v>805.66666666666663</v>
      </c>
      <c r="Y25" s="38">
        <f t="shared" si="9"/>
        <v>489</v>
      </c>
      <c r="Z25" s="38">
        <f t="shared" si="10"/>
        <v>875</v>
      </c>
      <c r="AA25" s="38">
        <f t="shared" si="11"/>
        <v>3102</v>
      </c>
      <c r="AB25" s="38">
        <f t="shared" si="12"/>
        <v>4308</v>
      </c>
      <c r="AC25" s="38">
        <f t="shared" si="13"/>
        <v>2125</v>
      </c>
      <c r="AD25" s="38">
        <f t="shared" si="14"/>
        <v>1618</v>
      </c>
      <c r="AE25" s="38">
        <f t="shared" si="15"/>
        <v>1769</v>
      </c>
      <c r="AF25" s="38">
        <f t="shared" si="16"/>
        <v>814.5</v>
      </c>
      <c r="AG25" s="38">
        <f t="shared" si="17"/>
        <v>1869</v>
      </c>
      <c r="AH25" s="50">
        <f t="shared" si="18"/>
        <v>1947</v>
      </c>
      <c r="AI25" s="166">
        <f t="shared" si="0"/>
        <v>19722.166666666664</v>
      </c>
      <c r="AJ25" s="243">
        <f t="shared" si="19"/>
        <v>805.66666666666663</v>
      </c>
      <c r="AK25" s="38">
        <f t="shared" si="20"/>
        <v>489</v>
      </c>
      <c r="AL25" s="38">
        <f t="shared" si="21"/>
        <v>1618</v>
      </c>
      <c r="AM25" s="38">
        <f t="shared" si="22"/>
        <v>1769</v>
      </c>
      <c r="AN25" s="38">
        <f t="shared" si="23"/>
        <v>814.5</v>
      </c>
      <c r="AO25" s="38">
        <f t="shared" si="24"/>
        <v>1062.5</v>
      </c>
      <c r="AP25" s="42">
        <f t="shared" si="25"/>
        <v>6558.6666666666661</v>
      </c>
      <c r="AQ25" s="167">
        <f t="shared" si="1"/>
        <v>805.66666666666663</v>
      </c>
      <c r="AR25" s="38">
        <f t="shared" si="2"/>
        <v>735.33333333333326</v>
      </c>
      <c r="AS25" s="38">
        <f t="shared" si="26"/>
        <v>1016</v>
      </c>
      <c r="AT25" s="38">
        <f t="shared" si="27"/>
        <v>489.33333333333331</v>
      </c>
      <c r="AU25" s="38">
        <f t="shared" si="28"/>
        <v>1062.5</v>
      </c>
      <c r="AV25" s="42">
        <f t="shared" si="29"/>
        <v>4108.8333333333339</v>
      </c>
      <c r="AW25" s="167">
        <f t="shared" si="3"/>
        <v>724.5</v>
      </c>
      <c r="AX25" s="38">
        <f t="shared" si="4"/>
        <v>735.33333333333326</v>
      </c>
      <c r="AY25" s="38">
        <f t="shared" si="30"/>
        <v>1016</v>
      </c>
      <c r="AZ25" s="166">
        <f t="shared" si="31"/>
        <v>489.33333333333331</v>
      </c>
      <c r="BA25" s="166">
        <f t="shared" si="32"/>
        <v>1129</v>
      </c>
      <c r="BB25" s="42">
        <f t="shared" si="33"/>
        <v>4094.1666666666665</v>
      </c>
      <c r="BC25" s="243">
        <f t="shared" si="34"/>
        <v>724.5</v>
      </c>
      <c r="BD25" s="38">
        <f t="shared" si="35"/>
        <v>1016</v>
      </c>
      <c r="BE25" s="166">
        <f t="shared" si="36"/>
        <v>1129</v>
      </c>
      <c r="BF25" s="166">
        <f t="shared" si="37"/>
        <v>2869.5</v>
      </c>
      <c r="BG25" s="243">
        <f t="shared" si="38"/>
        <v>1016</v>
      </c>
      <c r="BH25" s="38">
        <f t="shared" si="5"/>
        <v>1000</v>
      </c>
      <c r="BI25" s="38">
        <f t="shared" si="39"/>
        <v>785</v>
      </c>
      <c r="BJ25" s="166">
        <f t="shared" si="40"/>
        <v>1129</v>
      </c>
      <c r="BK25" s="166">
        <f t="shared" si="41"/>
        <v>2154</v>
      </c>
      <c r="BL25" s="166">
        <f t="shared" si="42"/>
        <v>1330</v>
      </c>
      <c r="BM25" s="42">
        <f t="shared" si="43"/>
        <v>7414</v>
      </c>
      <c r="BN25" s="167">
        <f t="shared" si="44"/>
        <v>362.25</v>
      </c>
      <c r="BO25" s="38">
        <f t="shared" si="6"/>
        <v>735.33333333333326</v>
      </c>
      <c r="BP25" s="38">
        <f t="shared" si="45"/>
        <v>785</v>
      </c>
      <c r="BQ25" s="166">
        <f t="shared" si="46"/>
        <v>489.33333333333331</v>
      </c>
      <c r="BR25" s="42">
        <f t="shared" si="47"/>
        <v>2371.9166666666665</v>
      </c>
    </row>
    <row r="26" spans="1:70" x14ac:dyDescent="0.25">
      <c r="A26" s="232" t="s">
        <v>30</v>
      </c>
      <c r="B26" s="38">
        <v>752</v>
      </c>
      <c r="C26" s="38">
        <v>752</v>
      </c>
      <c r="D26" s="38">
        <v>752</v>
      </c>
      <c r="E26" s="38">
        <v>752</v>
      </c>
      <c r="F26" s="38">
        <v>752</v>
      </c>
      <c r="G26" s="38">
        <v>752</v>
      </c>
      <c r="H26" s="38">
        <v>752</v>
      </c>
      <c r="I26" s="38">
        <v>752</v>
      </c>
      <c r="J26" s="38">
        <v>752</v>
      </c>
      <c r="K26" s="38">
        <v>752</v>
      </c>
      <c r="L26" s="38">
        <v>752</v>
      </c>
      <c r="M26" s="38">
        <v>752</v>
      </c>
      <c r="N26" s="38">
        <v>752</v>
      </c>
      <c r="O26" s="38">
        <v>752</v>
      </c>
      <c r="P26" s="38">
        <v>815</v>
      </c>
      <c r="Q26" s="38">
        <v>199</v>
      </c>
      <c r="R26" s="50">
        <v>752</v>
      </c>
      <c r="S26" s="38">
        <v>752</v>
      </c>
      <c r="T26" s="38">
        <v>752</v>
      </c>
      <c r="U26" s="38">
        <v>752</v>
      </c>
      <c r="V26" s="166">
        <v>529</v>
      </c>
      <c r="W26" s="42">
        <f t="shared" si="7"/>
        <v>15079</v>
      </c>
      <c r="X26" s="243">
        <f t="shared" si="8"/>
        <v>250.66666666666666</v>
      </c>
      <c r="Y26" s="38">
        <f t="shared" si="9"/>
        <v>376</v>
      </c>
      <c r="Z26" s="38">
        <f t="shared" si="10"/>
        <v>752</v>
      </c>
      <c r="AA26" s="38">
        <f t="shared" si="11"/>
        <v>752</v>
      </c>
      <c r="AB26" s="38">
        <f t="shared" si="12"/>
        <v>752</v>
      </c>
      <c r="AC26" s="38">
        <f t="shared" si="13"/>
        <v>752</v>
      </c>
      <c r="AD26" s="38">
        <f t="shared" si="14"/>
        <v>376</v>
      </c>
      <c r="AE26" s="38">
        <f t="shared" si="15"/>
        <v>376</v>
      </c>
      <c r="AF26" s="38">
        <f t="shared" si="16"/>
        <v>407.5</v>
      </c>
      <c r="AG26" s="38">
        <f t="shared" si="17"/>
        <v>199</v>
      </c>
      <c r="AH26" s="50">
        <f t="shared" si="18"/>
        <v>752</v>
      </c>
      <c r="AI26" s="166">
        <f t="shared" si="0"/>
        <v>5745.1666666666661</v>
      </c>
      <c r="AJ26" s="243">
        <f t="shared" si="19"/>
        <v>250.66666666666666</v>
      </c>
      <c r="AK26" s="38">
        <f t="shared" si="20"/>
        <v>376</v>
      </c>
      <c r="AL26" s="38">
        <f t="shared" si="21"/>
        <v>376</v>
      </c>
      <c r="AM26" s="38">
        <f t="shared" si="22"/>
        <v>376</v>
      </c>
      <c r="AN26" s="38">
        <f t="shared" si="23"/>
        <v>407.5</v>
      </c>
      <c r="AO26" s="38">
        <f t="shared" si="24"/>
        <v>376</v>
      </c>
      <c r="AP26" s="42">
        <f t="shared" si="25"/>
        <v>2162.1666666666665</v>
      </c>
      <c r="AQ26" s="167">
        <f t="shared" si="1"/>
        <v>250.66666666666666</v>
      </c>
      <c r="AR26" s="38">
        <f t="shared" si="2"/>
        <v>250.66666666666666</v>
      </c>
      <c r="AS26" s="38">
        <f t="shared" si="26"/>
        <v>188</v>
      </c>
      <c r="AT26" s="38">
        <f t="shared" si="27"/>
        <v>250.66666666666666</v>
      </c>
      <c r="AU26" s="38">
        <f t="shared" si="28"/>
        <v>376</v>
      </c>
      <c r="AV26" s="42">
        <f t="shared" si="29"/>
        <v>1316</v>
      </c>
      <c r="AW26" s="167">
        <f t="shared" si="3"/>
        <v>376</v>
      </c>
      <c r="AX26" s="38">
        <f t="shared" si="4"/>
        <v>250.66666666666666</v>
      </c>
      <c r="AY26" s="38">
        <f t="shared" si="30"/>
        <v>188</v>
      </c>
      <c r="AZ26" s="166">
        <f t="shared" si="31"/>
        <v>250.66666666666666</v>
      </c>
      <c r="BA26" s="166">
        <f t="shared" si="32"/>
        <v>250.66666666666666</v>
      </c>
      <c r="BB26" s="42">
        <f t="shared" si="33"/>
        <v>1316</v>
      </c>
      <c r="BC26" s="243">
        <f t="shared" si="34"/>
        <v>376</v>
      </c>
      <c r="BD26" s="38">
        <f t="shared" si="35"/>
        <v>188</v>
      </c>
      <c r="BE26" s="166">
        <f t="shared" si="36"/>
        <v>250.66666666666666</v>
      </c>
      <c r="BF26" s="166">
        <f t="shared" si="37"/>
        <v>814.66666666666663</v>
      </c>
      <c r="BG26" s="243">
        <f t="shared" si="38"/>
        <v>188</v>
      </c>
      <c r="BH26" s="38">
        <f t="shared" si="5"/>
        <v>752</v>
      </c>
      <c r="BI26" s="38">
        <f t="shared" si="39"/>
        <v>376</v>
      </c>
      <c r="BJ26" s="166">
        <f t="shared" si="40"/>
        <v>250.66666666666666</v>
      </c>
      <c r="BK26" s="166">
        <f t="shared" si="41"/>
        <v>752</v>
      </c>
      <c r="BL26" s="166">
        <f t="shared" si="42"/>
        <v>529</v>
      </c>
      <c r="BM26" s="42">
        <f t="shared" si="43"/>
        <v>2847.666666666667</v>
      </c>
      <c r="BN26" s="167">
        <f t="shared" si="44"/>
        <v>188</v>
      </c>
      <c r="BO26" s="38">
        <f t="shared" si="6"/>
        <v>250.66666666666666</v>
      </c>
      <c r="BP26" s="38">
        <f t="shared" si="45"/>
        <v>376</v>
      </c>
      <c r="BQ26" s="166">
        <f t="shared" si="46"/>
        <v>250.66666666666666</v>
      </c>
      <c r="BR26" s="42">
        <f t="shared" si="47"/>
        <v>1065.3333333333333</v>
      </c>
    </row>
    <row r="27" spans="1:70" x14ac:dyDescent="0.25">
      <c r="A27" s="232" t="s">
        <v>24</v>
      </c>
      <c r="B27" s="38">
        <v>36</v>
      </c>
      <c r="C27" s="38">
        <v>68</v>
      </c>
      <c r="D27" s="38">
        <v>92</v>
      </c>
      <c r="E27" s="38">
        <v>231</v>
      </c>
      <c r="F27" s="38">
        <v>242</v>
      </c>
      <c r="G27" s="38">
        <v>0</v>
      </c>
      <c r="H27" s="38">
        <v>1</v>
      </c>
      <c r="I27" s="38">
        <v>103</v>
      </c>
      <c r="J27" s="38">
        <v>107</v>
      </c>
      <c r="K27" s="38">
        <v>88</v>
      </c>
      <c r="L27" s="38">
        <v>118</v>
      </c>
      <c r="M27" s="38">
        <v>101</v>
      </c>
      <c r="N27" s="38">
        <v>1291</v>
      </c>
      <c r="O27" s="38">
        <v>612</v>
      </c>
      <c r="P27" s="38">
        <v>358</v>
      </c>
      <c r="Q27" s="38">
        <v>365</v>
      </c>
      <c r="R27" s="50">
        <v>402</v>
      </c>
      <c r="S27" s="38">
        <v>60</v>
      </c>
      <c r="T27" s="38">
        <v>425</v>
      </c>
      <c r="U27" s="38">
        <v>2214</v>
      </c>
      <c r="V27" s="166">
        <v>146</v>
      </c>
      <c r="W27" s="42">
        <f t="shared" si="7"/>
        <v>7060</v>
      </c>
      <c r="X27" s="243">
        <f t="shared" si="8"/>
        <v>12</v>
      </c>
      <c r="Y27" s="38">
        <f t="shared" si="9"/>
        <v>115.5</v>
      </c>
      <c r="Z27" s="38">
        <f t="shared" si="10"/>
        <v>242</v>
      </c>
      <c r="AA27" s="38">
        <f t="shared" si="11"/>
        <v>0</v>
      </c>
      <c r="AB27" s="38">
        <f t="shared" si="12"/>
        <v>1</v>
      </c>
      <c r="AC27" s="38">
        <f t="shared" si="13"/>
        <v>103</v>
      </c>
      <c r="AD27" s="38">
        <f t="shared" si="14"/>
        <v>53.5</v>
      </c>
      <c r="AE27" s="38">
        <f t="shared" si="15"/>
        <v>44</v>
      </c>
      <c r="AF27" s="38">
        <f t="shared" si="16"/>
        <v>179</v>
      </c>
      <c r="AG27" s="38">
        <f t="shared" si="17"/>
        <v>365</v>
      </c>
      <c r="AH27" s="50">
        <f t="shared" si="18"/>
        <v>402</v>
      </c>
      <c r="AI27" s="166">
        <f t="shared" si="0"/>
        <v>1517</v>
      </c>
      <c r="AJ27" s="243">
        <f t="shared" si="19"/>
        <v>12</v>
      </c>
      <c r="AK27" s="38">
        <f t="shared" si="20"/>
        <v>115.5</v>
      </c>
      <c r="AL27" s="38">
        <f t="shared" si="21"/>
        <v>53.5</v>
      </c>
      <c r="AM27" s="38">
        <f t="shared" si="22"/>
        <v>44</v>
      </c>
      <c r="AN27" s="38">
        <f t="shared" si="23"/>
        <v>179</v>
      </c>
      <c r="AO27" s="38">
        <f t="shared" si="24"/>
        <v>30</v>
      </c>
      <c r="AP27" s="42">
        <f t="shared" si="25"/>
        <v>434</v>
      </c>
      <c r="AQ27" s="167">
        <f t="shared" si="1"/>
        <v>12</v>
      </c>
      <c r="AR27" s="38">
        <f t="shared" si="2"/>
        <v>30.666666666666664</v>
      </c>
      <c r="AS27" s="38">
        <f t="shared" si="26"/>
        <v>29.5</v>
      </c>
      <c r="AT27" s="38">
        <f t="shared" si="27"/>
        <v>204</v>
      </c>
      <c r="AU27" s="38">
        <f t="shared" si="28"/>
        <v>30</v>
      </c>
      <c r="AV27" s="42">
        <f t="shared" si="29"/>
        <v>306.16666666666663</v>
      </c>
      <c r="AW27" s="167">
        <f t="shared" si="3"/>
        <v>34</v>
      </c>
      <c r="AX27" s="38">
        <f t="shared" si="4"/>
        <v>30.666666666666664</v>
      </c>
      <c r="AY27" s="38">
        <f t="shared" si="30"/>
        <v>29.5</v>
      </c>
      <c r="AZ27" s="166">
        <f t="shared" si="31"/>
        <v>204</v>
      </c>
      <c r="BA27" s="166">
        <f t="shared" si="32"/>
        <v>141.66666666666666</v>
      </c>
      <c r="BB27" s="42">
        <f t="shared" si="33"/>
        <v>439.83333333333326</v>
      </c>
      <c r="BC27" s="243">
        <f t="shared" si="34"/>
        <v>34</v>
      </c>
      <c r="BD27" s="38">
        <f t="shared" si="35"/>
        <v>29.5</v>
      </c>
      <c r="BE27" s="166">
        <f t="shared" si="36"/>
        <v>141.66666666666666</v>
      </c>
      <c r="BF27" s="166">
        <f t="shared" si="37"/>
        <v>205.16666666666666</v>
      </c>
      <c r="BG27" s="243">
        <f t="shared" si="38"/>
        <v>29.5</v>
      </c>
      <c r="BH27" s="38">
        <f t="shared" si="5"/>
        <v>101</v>
      </c>
      <c r="BI27" s="38">
        <f t="shared" si="39"/>
        <v>645.5</v>
      </c>
      <c r="BJ27" s="166">
        <f t="shared" si="40"/>
        <v>141.66666666666666</v>
      </c>
      <c r="BK27" s="166">
        <f t="shared" si="41"/>
        <v>2214</v>
      </c>
      <c r="BL27" s="166">
        <f t="shared" si="42"/>
        <v>146</v>
      </c>
      <c r="BM27" s="42">
        <f t="shared" si="43"/>
        <v>3277.6666666666665</v>
      </c>
      <c r="BN27" s="167">
        <f t="shared" si="44"/>
        <v>17</v>
      </c>
      <c r="BO27" s="38">
        <f t="shared" si="6"/>
        <v>30.666666666666664</v>
      </c>
      <c r="BP27" s="38">
        <f t="shared" si="45"/>
        <v>645.5</v>
      </c>
      <c r="BQ27" s="166">
        <f t="shared" si="46"/>
        <v>204</v>
      </c>
      <c r="BR27" s="42">
        <f t="shared" si="47"/>
        <v>897.16666666666663</v>
      </c>
    </row>
    <row r="28" spans="1:70" s="10" customFormat="1" ht="14.25" customHeight="1" x14ac:dyDescent="0.25">
      <c r="A28" s="320" t="s">
        <v>508</v>
      </c>
      <c r="B28" s="50">
        <v>1956</v>
      </c>
      <c r="C28" s="50">
        <v>1117</v>
      </c>
      <c r="D28" s="50">
        <v>1297</v>
      </c>
      <c r="E28" s="50">
        <v>1419</v>
      </c>
      <c r="F28" s="50">
        <v>663</v>
      </c>
      <c r="G28" s="50">
        <v>1740</v>
      </c>
      <c r="H28" s="50">
        <v>2195</v>
      </c>
      <c r="I28" s="50">
        <v>1079</v>
      </c>
      <c r="J28" s="50">
        <v>233</v>
      </c>
      <c r="K28" s="50">
        <v>856</v>
      </c>
      <c r="L28" s="50">
        <v>2084</v>
      </c>
      <c r="M28" s="50">
        <v>678</v>
      </c>
      <c r="N28" s="50">
        <v>1925</v>
      </c>
      <c r="O28" s="50">
        <v>766</v>
      </c>
      <c r="P28" s="50">
        <v>970</v>
      </c>
      <c r="Q28" s="50">
        <v>810</v>
      </c>
      <c r="R28" s="50">
        <v>1133</v>
      </c>
      <c r="S28" s="50">
        <v>1196</v>
      </c>
      <c r="T28" s="50">
        <v>1972</v>
      </c>
      <c r="U28" s="50">
        <v>1991</v>
      </c>
      <c r="V28" s="236">
        <v>840</v>
      </c>
      <c r="W28" s="230">
        <f t="shared" si="7"/>
        <v>26920</v>
      </c>
      <c r="X28" s="244">
        <f t="shared" si="8"/>
        <v>652</v>
      </c>
      <c r="Y28" s="50">
        <f t="shared" si="9"/>
        <v>709.5</v>
      </c>
      <c r="Z28" s="50">
        <f t="shared" si="10"/>
        <v>663</v>
      </c>
      <c r="AA28" s="50">
        <f t="shared" si="11"/>
        <v>1740</v>
      </c>
      <c r="AB28" s="50">
        <f t="shared" si="12"/>
        <v>2195</v>
      </c>
      <c r="AC28" s="50">
        <f t="shared" si="13"/>
        <v>1079</v>
      </c>
      <c r="AD28" s="50">
        <f t="shared" si="14"/>
        <v>116.5</v>
      </c>
      <c r="AE28" s="50">
        <f t="shared" si="15"/>
        <v>428</v>
      </c>
      <c r="AF28" s="50">
        <f t="shared" si="16"/>
        <v>485</v>
      </c>
      <c r="AG28" s="50">
        <f t="shared" si="17"/>
        <v>810</v>
      </c>
      <c r="AH28" s="50">
        <f t="shared" si="18"/>
        <v>1133</v>
      </c>
      <c r="AI28" s="236">
        <f t="shared" si="0"/>
        <v>10011</v>
      </c>
      <c r="AJ28" s="244">
        <f t="shared" si="19"/>
        <v>652</v>
      </c>
      <c r="AK28" s="50">
        <f t="shared" si="20"/>
        <v>709.5</v>
      </c>
      <c r="AL28" s="50">
        <f t="shared" si="21"/>
        <v>116.5</v>
      </c>
      <c r="AM28" s="50">
        <f t="shared" si="22"/>
        <v>428</v>
      </c>
      <c r="AN28" s="50">
        <f t="shared" si="23"/>
        <v>485</v>
      </c>
      <c r="AO28" s="50">
        <f t="shared" si="24"/>
        <v>598</v>
      </c>
      <c r="AP28" s="230">
        <f t="shared" si="25"/>
        <v>2989</v>
      </c>
      <c r="AQ28" s="253">
        <f t="shared" si="1"/>
        <v>652</v>
      </c>
      <c r="AR28" s="50">
        <f t="shared" si="2"/>
        <v>432.33333333333331</v>
      </c>
      <c r="AS28" s="50">
        <f t="shared" si="26"/>
        <v>521</v>
      </c>
      <c r="AT28" s="50">
        <f t="shared" si="27"/>
        <v>255.33333333333331</v>
      </c>
      <c r="AU28" s="50">
        <f t="shared" si="28"/>
        <v>598</v>
      </c>
      <c r="AV28" s="230">
        <f t="shared" si="29"/>
        <v>2458.6666666666665</v>
      </c>
      <c r="AW28" s="253">
        <f t="shared" si="3"/>
        <v>558.5</v>
      </c>
      <c r="AX28" s="50">
        <f t="shared" si="4"/>
        <v>432.33333333333331</v>
      </c>
      <c r="AY28" s="50">
        <f t="shared" si="30"/>
        <v>521</v>
      </c>
      <c r="AZ28" s="236">
        <f t="shared" si="31"/>
        <v>255.33333333333331</v>
      </c>
      <c r="BA28" s="236">
        <f t="shared" si="32"/>
        <v>657.33333333333326</v>
      </c>
      <c r="BB28" s="230">
        <f t="shared" si="33"/>
        <v>2424.5</v>
      </c>
      <c r="BC28" s="244">
        <f t="shared" si="34"/>
        <v>558.5</v>
      </c>
      <c r="BD28" s="50">
        <f t="shared" si="35"/>
        <v>521</v>
      </c>
      <c r="BE28" s="236">
        <f t="shared" si="36"/>
        <v>657.33333333333326</v>
      </c>
      <c r="BF28" s="236">
        <f t="shared" si="37"/>
        <v>1736.8333333333333</v>
      </c>
      <c r="BG28" s="244">
        <f t="shared" si="38"/>
        <v>521</v>
      </c>
      <c r="BH28" s="50">
        <f t="shared" si="5"/>
        <v>678</v>
      </c>
      <c r="BI28" s="50">
        <f t="shared" si="39"/>
        <v>962.5</v>
      </c>
      <c r="BJ28" s="236">
        <f t="shared" si="40"/>
        <v>657.33333333333326</v>
      </c>
      <c r="BK28" s="236">
        <f t="shared" si="41"/>
        <v>1991</v>
      </c>
      <c r="BL28" s="236">
        <f t="shared" si="42"/>
        <v>840</v>
      </c>
      <c r="BM28" s="230">
        <f t="shared" si="43"/>
        <v>5649.833333333333</v>
      </c>
      <c r="BN28" s="253">
        <f t="shared" si="44"/>
        <v>279.25</v>
      </c>
      <c r="BO28" s="50">
        <f t="shared" si="6"/>
        <v>432.33333333333331</v>
      </c>
      <c r="BP28" s="50">
        <f t="shared" si="45"/>
        <v>962.5</v>
      </c>
      <c r="BQ28" s="236">
        <f t="shared" si="46"/>
        <v>255.33333333333331</v>
      </c>
      <c r="BR28" s="230">
        <f t="shared" si="47"/>
        <v>1929.4166666666665</v>
      </c>
    </row>
    <row r="29" spans="1:70" x14ac:dyDescent="0.25">
      <c r="A29" s="232" t="s">
        <v>25</v>
      </c>
      <c r="B29" s="38">
        <v>1.56</v>
      </c>
      <c r="C29" s="38">
        <v>1.64</v>
      </c>
      <c r="D29" s="38">
        <v>2.0099999999999998</v>
      </c>
      <c r="E29" s="38">
        <v>2.33</v>
      </c>
      <c r="F29" s="38">
        <v>2.4900000000000002</v>
      </c>
      <c r="G29" s="38">
        <v>1.92</v>
      </c>
      <c r="H29" s="38">
        <v>1.96</v>
      </c>
      <c r="I29" s="38">
        <v>2.2200000000000002</v>
      </c>
      <c r="J29" s="38">
        <v>1.73</v>
      </c>
      <c r="K29" s="38">
        <v>2.54</v>
      </c>
      <c r="L29" s="38">
        <v>2.57</v>
      </c>
      <c r="M29" s="38">
        <v>2.27</v>
      </c>
      <c r="N29" s="38">
        <v>2.35</v>
      </c>
      <c r="O29" s="38">
        <v>2.64</v>
      </c>
      <c r="P29" s="38">
        <v>2.52</v>
      </c>
      <c r="Q29" s="38">
        <v>2.54</v>
      </c>
      <c r="R29" s="50">
        <v>2.21</v>
      </c>
      <c r="S29" s="38">
        <v>2.33</v>
      </c>
      <c r="T29" s="38">
        <v>2.41</v>
      </c>
      <c r="U29" s="50">
        <v>2.41</v>
      </c>
      <c r="V29" s="236">
        <v>2.21</v>
      </c>
      <c r="W29" s="230">
        <f t="shared" si="7"/>
        <v>46.859999999999992</v>
      </c>
      <c r="X29" s="244">
        <f t="shared" si="8"/>
        <v>0.52</v>
      </c>
      <c r="Y29" s="38">
        <f t="shared" si="9"/>
        <v>1.165</v>
      </c>
      <c r="Z29" s="38">
        <f t="shared" si="10"/>
        <v>2.4900000000000002</v>
      </c>
      <c r="AA29" s="38">
        <f t="shared" si="11"/>
        <v>1.92</v>
      </c>
      <c r="AB29" s="38">
        <f t="shared" si="12"/>
        <v>1.96</v>
      </c>
      <c r="AC29" s="38">
        <f t="shared" si="13"/>
        <v>2.2200000000000002</v>
      </c>
      <c r="AD29" s="38">
        <f t="shared" si="14"/>
        <v>0.86499999999999999</v>
      </c>
      <c r="AE29" s="38">
        <f t="shared" si="15"/>
        <v>1.27</v>
      </c>
      <c r="AF29" s="38">
        <f t="shared" si="16"/>
        <v>1.26</v>
      </c>
      <c r="AG29" s="38">
        <f t="shared" si="17"/>
        <v>2.54</v>
      </c>
      <c r="AH29" s="50">
        <f t="shared" si="18"/>
        <v>2.21</v>
      </c>
      <c r="AI29" s="166">
        <f t="shared" si="0"/>
        <v>18.420000000000002</v>
      </c>
      <c r="AJ29" s="244">
        <f t="shared" si="19"/>
        <v>0.52</v>
      </c>
      <c r="AK29" s="38">
        <f t="shared" si="20"/>
        <v>1.165</v>
      </c>
      <c r="AL29" s="38">
        <f t="shared" si="21"/>
        <v>0.86499999999999999</v>
      </c>
      <c r="AM29" s="38">
        <f t="shared" si="22"/>
        <v>1.27</v>
      </c>
      <c r="AN29" s="38">
        <f t="shared" si="23"/>
        <v>1.26</v>
      </c>
      <c r="AO29" s="38">
        <f t="shared" si="24"/>
        <v>1.165</v>
      </c>
      <c r="AP29" s="42">
        <f t="shared" si="25"/>
        <v>6.2450000000000001</v>
      </c>
      <c r="AQ29" s="253">
        <f t="shared" si="1"/>
        <v>0.52</v>
      </c>
      <c r="AR29" s="38">
        <f t="shared" si="2"/>
        <v>0.66999999999999993</v>
      </c>
      <c r="AS29" s="38">
        <f t="shared" si="26"/>
        <v>0.64249999999999996</v>
      </c>
      <c r="AT29" s="38">
        <f t="shared" si="27"/>
        <v>0.88</v>
      </c>
      <c r="AU29" s="38">
        <f t="shared" si="28"/>
        <v>1.165</v>
      </c>
      <c r="AV29" s="42">
        <f t="shared" si="29"/>
        <v>3.8774999999999999</v>
      </c>
      <c r="AW29" s="253">
        <f t="shared" si="3"/>
        <v>0.82</v>
      </c>
      <c r="AX29" s="38">
        <f t="shared" si="4"/>
        <v>0.66999999999999993</v>
      </c>
      <c r="AY29" s="38">
        <f t="shared" si="30"/>
        <v>0.64249999999999996</v>
      </c>
      <c r="AZ29" s="166">
        <f t="shared" si="31"/>
        <v>0.88</v>
      </c>
      <c r="BA29" s="166">
        <f t="shared" si="32"/>
        <v>0.80333333333333334</v>
      </c>
      <c r="BB29" s="42">
        <f t="shared" si="33"/>
        <v>3.815833333333333</v>
      </c>
      <c r="BC29" s="244">
        <f t="shared" si="34"/>
        <v>0.82</v>
      </c>
      <c r="BD29" s="38">
        <f t="shared" si="35"/>
        <v>0.64249999999999996</v>
      </c>
      <c r="BE29" s="166">
        <f t="shared" si="36"/>
        <v>0.80333333333333334</v>
      </c>
      <c r="BF29" s="166">
        <f t="shared" si="37"/>
        <v>2.2658333333333331</v>
      </c>
      <c r="BG29" s="243">
        <f t="shared" si="38"/>
        <v>0.64249999999999996</v>
      </c>
      <c r="BH29" s="50">
        <f t="shared" si="5"/>
        <v>2.27</v>
      </c>
      <c r="BI29" s="38">
        <f t="shared" si="39"/>
        <v>1.175</v>
      </c>
      <c r="BJ29" s="166">
        <f t="shared" si="40"/>
        <v>0.80333333333333334</v>
      </c>
      <c r="BK29" s="166">
        <f t="shared" si="41"/>
        <v>2.41</v>
      </c>
      <c r="BL29" s="166">
        <f t="shared" si="42"/>
        <v>2.21</v>
      </c>
      <c r="BM29" s="42">
        <f t="shared" si="43"/>
        <v>9.5108333333333341</v>
      </c>
      <c r="BN29" s="253">
        <f t="shared" si="44"/>
        <v>0.41</v>
      </c>
      <c r="BO29" s="38">
        <f t="shared" si="6"/>
        <v>0.66999999999999993</v>
      </c>
      <c r="BP29" s="38">
        <f t="shared" si="45"/>
        <v>1.175</v>
      </c>
      <c r="BQ29" s="166">
        <f t="shared" si="46"/>
        <v>0.88</v>
      </c>
      <c r="BR29" s="42">
        <f t="shared" si="47"/>
        <v>3.1349999999999998</v>
      </c>
    </row>
    <row r="30" spans="1:70" x14ac:dyDescent="0.25">
      <c r="A30" s="232" t="s">
        <v>509</v>
      </c>
      <c r="B30" s="38">
        <v>303</v>
      </c>
      <c r="C30" s="38">
        <v>181</v>
      </c>
      <c r="D30" s="38">
        <v>513</v>
      </c>
      <c r="E30" s="38">
        <v>627</v>
      </c>
      <c r="F30" s="38">
        <v>434</v>
      </c>
      <c r="G30" s="38">
        <v>771</v>
      </c>
      <c r="H30" s="38">
        <v>1037</v>
      </c>
      <c r="I30" s="38">
        <v>308</v>
      </c>
      <c r="J30" s="38">
        <v>58</v>
      </c>
      <c r="K30" s="38">
        <v>137</v>
      </c>
      <c r="L30" s="38">
        <v>359</v>
      </c>
      <c r="M30" s="38">
        <v>324</v>
      </c>
      <c r="N30" s="38">
        <v>963</v>
      </c>
      <c r="O30" s="38">
        <v>426</v>
      </c>
      <c r="P30" s="38">
        <v>538</v>
      </c>
      <c r="Q30" s="38">
        <v>427</v>
      </c>
      <c r="R30" s="50">
        <v>617</v>
      </c>
      <c r="S30" s="38">
        <v>256</v>
      </c>
      <c r="T30" s="38">
        <v>744</v>
      </c>
      <c r="U30" s="50">
        <v>1031</v>
      </c>
      <c r="V30" s="236">
        <v>426</v>
      </c>
      <c r="W30" s="230">
        <f t="shared" si="7"/>
        <v>10480</v>
      </c>
      <c r="X30" s="244">
        <f t="shared" si="8"/>
        <v>101</v>
      </c>
      <c r="Y30" s="38">
        <f t="shared" si="9"/>
        <v>313.5</v>
      </c>
      <c r="Z30" s="38">
        <f t="shared" si="10"/>
        <v>434</v>
      </c>
      <c r="AA30" s="38">
        <f t="shared" si="11"/>
        <v>771</v>
      </c>
      <c r="AB30" s="38">
        <f t="shared" si="12"/>
        <v>1037</v>
      </c>
      <c r="AC30" s="38">
        <f t="shared" si="13"/>
        <v>308</v>
      </c>
      <c r="AD30" s="38">
        <f t="shared" si="14"/>
        <v>29</v>
      </c>
      <c r="AE30" s="38">
        <f t="shared" si="15"/>
        <v>68.5</v>
      </c>
      <c r="AF30" s="38">
        <f t="shared" si="16"/>
        <v>269</v>
      </c>
      <c r="AG30" s="38">
        <f t="shared" si="17"/>
        <v>427</v>
      </c>
      <c r="AH30" s="50">
        <f t="shared" si="18"/>
        <v>617</v>
      </c>
      <c r="AI30" s="166">
        <f t="shared" si="0"/>
        <v>4375</v>
      </c>
      <c r="AJ30" s="244">
        <f t="shared" si="19"/>
        <v>101</v>
      </c>
      <c r="AK30" s="38">
        <f t="shared" si="20"/>
        <v>313.5</v>
      </c>
      <c r="AL30" s="38">
        <f t="shared" si="21"/>
        <v>29</v>
      </c>
      <c r="AM30" s="38">
        <f t="shared" si="22"/>
        <v>68.5</v>
      </c>
      <c r="AN30" s="38">
        <f t="shared" si="23"/>
        <v>269</v>
      </c>
      <c r="AO30" s="38">
        <f t="shared" si="24"/>
        <v>128</v>
      </c>
      <c r="AP30" s="42">
        <f t="shared" si="25"/>
        <v>909</v>
      </c>
      <c r="AQ30" s="253">
        <f t="shared" si="1"/>
        <v>101</v>
      </c>
      <c r="AR30" s="38">
        <f t="shared" si="2"/>
        <v>171</v>
      </c>
      <c r="AS30" s="38">
        <f t="shared" si="26"/>
        <v>89.75</v>
      </c>
      <c r="AT30" s="38">
        <f t="shared" si="27"/>
        <v>142</v>
      </c>
      <c r="AU30" s="38">
        <f t="shared" si="28"/>
        <v>128</v>
      </c>
      <c r="AV30" s="42">
        <f t="shared" si="29"/>
        <v>631.75</v>
      </c>
      <c r="AW30" s="253">
        <f t="shared" si="3"/>
        <v>90.5</v>
      </c>
      <c r="AX30" s="38">
        <f t="shared" si="4"/>
        <v>171</v>
      </c>
      <c r="AY30" s="38">
        <f t="shared" si="30"/>
        <v>89.75</v>
      </c>
      <c r="AZ30" s="166">
        <f t="shared" si="31"/>
        <v>142</v>
      </c>
      <c r="BA30" s="166">
        <f t="shared" si="32"/>
        <v>248</v>
      </c>
      <c r="BB30" s="42">
        <f t="shared" si="33"/>
        <v>741.25</v>
      </c>
      <c r="BC30" s="244">
        <f t="shared" si="34"/>
        <v>90.5</v>
      </c>
      <c r="BD30" s="38">
        <f t="shared" si="35"/>
        <v>89.75</v>
      </c>
      <c r="BE30" s="166">
        <f t="shared" si="36"/>
        <v>248</v>
      </c>
      <c r="BF30" s="166">
        <f t="shared" si="37"/>
        <v>428.25</v>
      </c>
      <c r="BG30" s="243">
        <f t="shared" si="38"/>
        <v>89.75</v>
      </c>
      <c r="BH30" s="50">
        <f t="shared" si="5"/>
        <v>324</v>
      </c>
      <c r="BI30" s="38">
        <f t="shared" si="39"/>
        <v>481.5</v>
      </c>
      <c r="BJ30" s="166">
        <f t="shared" si="40"/>
        <v>248</v>
      </c>
      <c r="BK30" s="166">
        <f t="shared" si="41"/>
        <v>1031</v>
      </c>
      <c r="BL30" s="166">
        <f t="shared" si="42"/>
        <v>426</v>
      </c>
      <c r="BM30" s="42">
        <f t="shared" si="43"/>
        <v>2600.25</v>
      </c>
      <c r="BN30" s="253">
        <f t="shared" si="44"/>
        <v>45.25</v>
      </c>
      <c r="BO30" s="38">
        <f t="shared" si="6"/>
        <v>171</v>
      </c>
      <c r="BP30" s="38">
        <f t="shared" si="45"/>
        <v>481.5</v>
      </c>
      <c r="BQ30" s="166">
        <f t="shared" si="46"/>
        <v>142</v>
      </c>
      <c r="BR30" s="42">
        <f t="shared" si="47"/>
        <v>839.75</v>
      </c>
    </row>
    <row r="31" spans="1:70" x14ac:dyDescent="0.25">
      <c r="A31" s="232" t="s">
        <v>26</v>
      </c>
      <c r="B31" s="38">
        <v>2.86</v>
      </c>
      <c r="C31" s="38">
        <v>2.69</v>
      </c>
      <c r="D31" s="38">
        <v>2.88</v>
      </c>
      <c r="E31" s="38">
        <v>3.53</v>
      </c>
      <c r="F31" s="38">
        <v>3.05</v>
      </c>
      <c r="G31" s="38">
        <v>2.77</v>
      </c>
      <c r="H31" s="38">
        <v>2.87</v>
      </c>
      <c r="I31" s="38">
        <v>2.82</v>
      </c>
      <c r="J31" s="38">
        <v>2.02</v>
      </c>
      <c r="K31" s="38">
        <v>2.36</v>
      </c>
      <c r="L31" s="38">
        <v>3.07</v>
      </c>
      <c r="M31" s="38">
        <v>3.15</v>
      </c>
      <c r="N31" s="38">
        <v>3.21</v>
      </c>
      <c r="O31" s="38">
        <v>3.53</v>
      </c>
      <c r="P31" s="38">
        <v>3.37</v>
      </c>
      <c r="Q31" s="38">
        <v>3.3</v>
      </c>
      <c r="R31" s="50">
        <v>2.96</v>
      </c>
      <c r="S31" s="38">
        <v>2.23</v>
      </c>
      <c r="T31" s="38">
        <v>2.65</v>
      </c>
      <c r="U31" s="50">
        <v>3.29</v>
      </c>
      <c r="V31" s="236">
        <v>2.94</v>
      </c>
      <c r="W31" s="230">
        <f t="shared" si="7"/>
        <v>61.54999999999999</v>
      </c>
      <c r="X31" s="244">
        <f t="shared" si="8"/>
        <v>0.95333333333333325</v>
      </c>
      <c r="Y31" s="38">
        <f t="shared" si="9"/>
        <v>1.7649999999999999</v>
      </c>
      <c r="Z31" s="38">
        <f t="shared" si="10"/>
        <v>3.05</v>
      </c>
      <c r="AA31" s="38">
        <f t="shared" si="11"/>
        <v>2.77</v>
      </c>
      <c r="AB31" s="38">
        <f t="shared" si="12"/>
        <v>2.87</v>
      </c>
      <c r="AC31" s="38">
        <f t="shared" si="13"/>
        <v>2.82</v>
      </c>
      <c r="AD31" s="38">
        <f t="shared" si="14"/>
        <v>1.01</v>
      </c>
      <c r="AE31" s="38">
        <f t="shared" si="15"/>
        <v>1.18</v>
      </c>
      <c r="AF31" s="38">
        <f t="shared" si="16"/>
        <v>1.6850000000000001</v>
      </c>
      <c r="AG31" s="38">
        <f t="shared" si="17"/>
        <v>3.3</v>
      </c>
      <c r="AH31" s="50">
        <f t="shared" si="18"/>
        <v>2.96</v>
      </c>
      <c r="AI31" s="166">
        <f t="shared" si="0"/>
        <v>24.363333333333333</v>
      </c>
      <c r="AJ31" s="244">
        <f t="shared" si="19"/>
        <v>0.95333333333333325</v>
      </c>
      <c r="AK31" s="38">
        <f t="shared" si="20"/>
        <v>1.7649999999999999</v>
      </c>
      <c r="AL31" s="38">
        <f t="shared" si="21"/>
        <v>1.01</v>
      </c>
      <c r="AM31" s="38">
        <f t="shared" si="22"/>
        <v>1.18</v>
      </c>
      <c r="AN31" s="38">
        <f t="shared" si="23"/>
        <v>1.6850000000000001</v>
      </c>
      <c r="AO31" s="38">
        <f t="shared" si="24"/>
        <v>1.115</v>
      </c>
      <c r="AP31" s="42">
        <f t="shared" si="25"/>
        <v>7.7083333333333339</v>
      </c>
      <c r="AQ31" s="253">
        <f t="shared" si="1"/>
        <v>0.95333333333333325</v>
      </c>
      <c r="AR31" s="38">
        <f t="shared" si="2"/>
        <v>0.96</v>
      </c>
      <c r="AS31" s="38">
        <f t="shared" si="26"/>
        <v>0.76749999999999996</v>
      </c>
      <c r="AT31" s="38">
        <f t="shared" si="27"/>
        <v>1.1766666666666665</v>
      </c>
      <c r="AU31" s="38">
        <f t="shared" si="28"/>
        <v>1.115</v>
      </c>
      <c r="AV31" s="42">
        <f t="shared" si="29"/>
        <v>4.9725000000000001</v>
      </c>
      <c r="AW31" s="253">
        <f t="shared" si="3"/>
        <v>1.345</v>
      </c>
      <c r="AX31" s="38">
        <f t="shared" si="4"/>
        <v>0.96</v>
      </c>
      <c r="AY31" s="38">
        <f t="shared" si="30"/>
        <v>0.76749999999999996</v>
      </c>
      <c r="AZ31" s="166">
        <f t="shared" si="31"/>
        <v>1.1766666666666665</v>
      </c>
      <c r="BA31" s="166">
        <f t="shared" si="32"/>
        <v>0.8833333333333333</v>
      </c>
      <c r="BB31" s="42">
        <f t="shared" si="33"/>
        <v>5.1325000000000003</v>
      </c>
      <c r="BC31" s="244">
        <f t="shared" si="34"/>
        <v>1.345</v>
      </c>
      <c r="BD31" s="38">
        <f t="shared" si="35"/>
        <v>0.76749999999999996</v>
      </c>
      <c r="BE31" s="166">
        <f t="shared" si="36"/>
        <v>0.8833333333333333</v>
      </c>
      <c r="BF31" s="166">
        <f t="shared" si="37"/>
        <v>2.9958333333333331</v>
      </c>
      <c r="BG31" s="243">
        <f t="shared" si="38"/>
        <v>0.76749999999999996</v>
      </c>
      <c r="BH31" s="50">
        <f t="shared" si="5"/>
        <v>3.15</v>
      </c>
      <c r="BI31" s="38">
        <f t="shared" si="39"/>
        <v>1.605</v>
      </c>
      <c r="BJ31" s="166">
        <f t="shared" si="40"/>
        <v>0.8833333333333333</v>
      </c>
      <c r="BK31" s="166">
        <f t="shared" si="41"/>
        <v>3.29</v>
      </c>
      <c r="BL31" s="166">
        <f t="shared" si="42"/>
        <v>2.94</v>
      </c>
      <c r="BM31" s="42">
        <f t="shared" si="43"/>
        <v>12.635833333333332</v>
      </c>
      <c r="BN31" s="253">
        <f t="shared" si="44"/>
        <v>0.67249999999999999</v>
      </c>
      <c r="BO31" s="38">
        <f t="shared" si="6"/>
        <v>0.96</v>
      </c>
      <c r="BP31" s="38">
        <f t="shared" si="45"/>
        <v>1.605</v>
      </c>
      <c r="BQ31" s="166">
        <f t="shared" si="46"/>
        <v>1.1766666666666665</v>
      </c>
      <c r="BR31" s="42">
        <f t="shared" si="47"/>
        <v>4.4141666666666666</v>
      </c>
    </row>
    <row r="32" spans="1:70" x14ac:dyDescent="0.25">
      <c r="A32" s="232" t="s">
        <v>23</v>
      </c>
      <c r="B32" s="38">
        <v>2201</v>
      </c>
      <c r="C32" s="38">
        <v>1253</v>
      </c>
      <c r="D32" s="38">
        <v>1575</v>
      </c>
      <c r="E32" s="38">
        <v>1752</v>
      </c>
      <c r="F32" s="38">
        <v>745</v>
      </c>
      <c r="G32" s="38">
        <v>1857</v>
      </c>
      <c r="H32" s="38">
        <v>2437</v>
      </c>
      <c r="I32" s="38">
        <v>1162</v>
      </c>
      <c r="J32" s="38">
        <v>242</v>
      </c>
      <c r="K32" s="38">
        <v>999</v>
      </c>
      <c r="L32" s="38">
        <v>2205</v>
      </c>
      <c r="M32" s="38">
        <v>755</v>
      </c>
      <c r="N32" s="38">
        <v>2370</v>
      </c>
      <c r="O32" s="38">
        <v>888</v>
      </c>
      <c r="P32" s="38">
        <v>1131</v>
      </c>
      <c r="Q32" s="38">
        <v>908</v>
      </c>
      <c r="R32" s="50">
        <v>1327</v>
      </c>
      <c r="S32" s="38">
        <v>1397</v>
      </c>
      <c r="T32" s="38">
        <v>2093</v>
      </c>
      <c r="U32" s="50">
        <v>2448</v>
      </c>
      <c r="V32" s="236">
        <v>855</v>
      </c>
      <c r="W32" s="230">
        <f t="shared" si="7"/>
        <v>30600</v>
      </c>
      <c r="X32" s="244">
        <f t="shared" si="8"/>
        <v>733.66666666666663</v>
      </c>
      <c r="Y32" s="38">
        <f t="shared" si="9"/>
        <v>876</v>
      </c>
      <c r="Z32" s="38">
        <f t="shared" si="10"/>
        <v>745</v>
      </c>
      <c r="AA32" s="38">
        <f t="shared" si="11"/>
        <v>1857</v>
      </c>
      <c r="AB32" s="38">
        <f t="shared" si="12"/>
        <v>2437</v>
      </c>
      <c r="AC32" s="38">
        <f t="shared" si="13"/>
        <v>1162</v>
      </c>
      <c r="AD32" s="38">
        <f t="shared" si="14"/>
        <v>121</v>
      </c>
      <c r="AE32" s="38">
        <f t="shared" si="15"/>
        <v>499.5</v>
      </c>
      <c r="AF32" s="38">
        <f t="shared" si="16"/>
        <v>565.5</v>
      </c>
      <c r="AG32" s="38">
        <f t="shared" si="17"/>
        <v>908</v>
      </c>
      <c r="AH32" s="50">
        <f t="shared" si="18"/>
        <v>1327</v>
      </c>
      <c r="AI32" s="166">
        <f t="shared" si="0"/>
        <v>11231.666666666666</v>
      </c>
      <c r="AJ32" s="244">
        <f t="shared" si="19"/>
        <v>733.66666666666663</v>
      </c>
      <c r="AK32" s="38">
        <f t="shared" si="20"/>
        <v>876</v>
      </c>
      <c r="AL32" s="38">
        <f t="shared" si="21"/>
        <v>121</v>
      </c>
      <c r="AM32" s="38">
        <f t="shared" si="22"/>
        <v>499.5</v>
      </c>
      <c r="AN32" s="38">
        <f t="shared" si="23"/>
        <v>565.5</v>
      </c>
      <c r="AO32" s="38">
        <f t="shared" si="24"/>
        <v>698.5</v>
      </c>
      <c r="AP32" s="42">
        <f t="shared" si="25"/>
        <v>3494.1666666666665</v>
      </c>
      <c r="AQ32" s="253">
        <f t="shared" si="1"/>
        <v>733.66666666666663</v>
      </c>
      <c r="AR32" s="38">
        <f t="shared" si="2"/>
        <v>525</v>
      </c>
      <c r="AS32" s="38">
        <f t="shared" si="26"/>
        <v>551.25</v>
      </c>
      <c r="AT32" s="38">
        <f t="shared" si="27"/>
        <v>296</v>
      </c>
      <c r="AU32" s="38">
        <f t="shared" si="28"/>
        <v>698.5</v>
      </c>
      <c r="AV32" s="42">
        <f t="shared" si="29"/>
        <v>2804.4166666666665</v>
      </c>
      <c r="AW32" s="253">
        <f t="shared" si="3"/>
        <v>626.5</v>
      </c>
      <c r="AX32" s="38">
        <f t="shared" si="4"/>
        <v>525</v>
      </c>
      <c r="AY32" s="38">
        <f t="shared" si="30"/>
        <v>551.25</v>
      </c>
      <c r="AZ32" s="166">
        <f t="shared" si="31"/>
        <v>296</v>
      </c>
      <c r="BA32" s="166">
        <f t="shared" si="32"/>
        <v>697.66666666666663</v>
      </c>
      <c r="BB32" s="42">
        <f t="shared" si="33"/>
        <v>2696.4166666666665</v>
      </c>
      <c r="BC32" s="244">
        <f t="shared" si="34"/>
        <v>626.5</v>
      </c>
      <c r="BD32" s="38">
        <f t="shared" si="35"/>
        <v>551.25</v>
      </c>
      <c r="BE32" s="166">
        <f t="shared" si="36"/>
        <v>697.66666666666663</v>
      </c>
      <c r="BF32" s="166">
        <f t="shared" si="37"/>
        <v>1875.4166666666665</v>
      </c>
      <c r="BG32" s="243">
        <f t="shared" si="38"/>
        <v>551.25</v>
      </c>
      <c r="BH32" s="50">
        <f t="shared" si="5"/>
        <v>755</v>
      </c>
      <c r="BI32" s="38">
        <f t="shared" si="39"/>
        <v>1185</v>
      </c>
      <c r="BJ32" s="166">
        <f t="shared" si="40"/>
        <v>697.66666666666663</v>
      </c>
      <c r="BK32" s="166">
        <f t="shared" si="41"/>
        <v>2448</v>
      </c>
      <c r="BL32" s="166">
        <f t="shared" si="42"/>
        <v>855</v>
      </c>
      <c r="BM32" s="42">
        <f t="shared" si="43"/>
        <v>6491.9166666666661</v>
      </c>
      <c r="BN32" s="253">
        <f t="shared" si="44"/>
        <v>313.25</v>
      </c>
      <c r="BO32" s="38">
        <f t="shared" si="6"/>
        <v>525</v>
      </c>
      <c r="BP32" s="38">
        <f t="shared" si="45"/>
        <v>1185</v>
      </c>
      <c r="BQ32" s="166">
        <f t="shared" si="46"/>
        <v>296</v>
      </c>
      <c r="BR32" s="42">
        <f t="shared" si="47"/>
        <v>2319.25</v>
      </c>
    </row>
    <row r="33" spans="1:70" s="10" customFormat="1" x14ac:dyDescent="0.25">
      <c r="A33" s="320" t="s">
        <v>27</v>
      </c>
      <c r="B33" s="50">
        <v>1956</v>
      </c>
      <c r="C33" s="50">
        <v>1117</v>
      </c>
      <c r="D33" s="50">
        <v>1297</v>
      </c>
      <c r="E33" s="50">
        <v>1419</v>
      </c>
      <c r="F33" s="50">
        <v>663</v>
      </c>
      <c r="G33" s="50">
        <v>1740</v>
      </c>
      <c r="H33" s="50">
        <v>2195</v>
      </c>
      <c r="I33" s="50">
        <v>1079</v>
      </c>
      <c r="J33" s="50">
        <v>233</v>
      </c>
      <c r="K33" s="50">
        <v>856</v>
      </c>
      <c r="L33" s="50">
        <v>2084</v>
      </c>
      <c r="M33" s="50">
        <v>678</v>
      </c>
      <c r="N33" s="50">
        <v>1925</v>
      </c>
      <c r="O33" s="50">
        <v>766</v>
      </c>
      <c r="P33" s="50">
        <v>970</v>
      </c>
      <c r="Q33" s="50">
        <v>810</v>
      </c>
      <c r="R33" s="50">
        <v>1133</v>
      </c>
      <c r="S33" s="50">
        <v>1196</v>
      </c>
      <c r="T33" s="50">
        <v>1972</v>
      </c>
      <c r="U33" s="50">
        <v>1991</v>
      </c>
      <c r="V33" s="236">
        <v>840</v>
      </c>
      <c r="W33" s="230">
        <f t="shared" si="7"/>
        <v>26920</v>
      </c>
      <c r="X33" s="244">
        <f t="shared" si="8"/>
        <v>652</v>
      </c>
      <c r="Y33" s="50">
        <f t="shared" si="9"/>
        <v>709.5</v>
      </c>
      <c r="Z33" s="50">
        <f t="shared" si="10"/>
        <v>663</v>
      </c>
      <c r="AA33" s="50">
        <f t="shared" si="11"/>
        <v>1740</v>
      </c>
      <c r="AB33" s="50">
        <f t="shared" si="12"/>
        <v>2195</v>
      </c>
      <c r="AC33" s="50">
        <f t="shared" si="13"/>
        <v>1079</v>
      </c>
      <c r="AD33" s="50">
        <f t="shared" si="14"/>
        <v>116.5</v>
      </c>
      <c r="AE33" s="50">
        <f t="shared" si="15"/>
        <v>428</v>
      </c>
      <c r="AF33" s="50">
        <f t="shared" si="16"/>
        <v>485</v>
      </c>
      <c r="AG33" s="50">
        <f t="shared" si="17"/>
        <v>810</v>
      </c>
      <c r="AH33" s="50">
        <f t="shared" si="18"/>
        <v>1133</v>
      </c>
      <c r="AI33" s="236">
        <f t="shared" si="0"/>
        <v>10011</v>
      </c>
      <c r="AJ33" s="244">
        <f t="shared" si="19"/>
        <v>652</v>
      </c>
      <c r="AK33" s="50">
        <f t="shared" si="20"/>
        <v>709.5</v>
      </c>
      <c r="AL33" s="50">
        <f t="shared" si="21"/>
        <v>116.5</v>
      </c>
      <c r="AM33" s="50">
        <f t="shared" si="22"/>
        <v>428</v>
      </c>
      <c r="AN33" s="50">
        <f t="shared" si="23"/>
        <v>485</v>
      </c>
      <c r="AO33" s="50">
        <f t="shared" si="24"/>
        <v>598</v>
      </c>
      <c r="AP33" s="230">
        <f t="shared" si="25"/>
        <v>2989</v>
      </c>
      <c r="AQ33" s="253">
        <f t="shared" si="1"/>
        <v>652</v>
      </c>
      <c r="AR33" s="50">
        <f t="shared" si="2"/>
        <v>432.33333333333331</v>
      </c>
      <c r="AS33" s="50">
        <f t="shared" si="26"/>
        <v>521</v>
      </c>
      <c r="AT33" s="50">
        <f t="shared" si="27"/>
        <v>255.33333333333331</v>
      </c>
      <c r="AU33" s="50">
        <f t="shared" si="28"/>
        <v>598</v>
      </c>
      <c r="AV33" s="230">
        <f t="shared" si="29"/>
        <v>2458.6666666666665</v>
      </c>
      <c r="AW33" s="253">
        <f t="shared" si="3"/>
        <v>558.5</v>
      </c>
      <c r="AX33" s="50">
        <f t="shared" si="4"/>
        <v>432.33333333333331</v>
      </c>
      <c r="AY33" s="50">
        <f t="shared" si="30"/>
        <v>521</v>
      </c>
      <c r="AZ33" s="236">
        <f t="shared" si="31"/>
        <v>255.33333333333331</v>
      </c>
      <c r="BA33" s="236">
        <f t="shared" si="32"/>
        <v>657.33333333333326</v>
      </c>
      <c r="BB33" s="230">
        <f t="shared" si="33"/>
        <v>2424.5</v>
      </c>
      <c r="BC33" s="244">
        <f t="shared" si="34"/>
        <v>558.5</v>
      </c>
      <c r="BD33" s="50">
        <f t="shared" si="35"/>
        <v>521</v>
      </c>
      <c r="BE33" s="236">
        <f t="shared" si="36"/>
        <v>657.33333333333326</v>
      </c>
      <c r="BF33" s="236">
        <f t="shared" si="37"/>
        <v>1736.8333333333333</v>
      </c>
      <c r="BG33" s="244">
        <f t="shared" si="38"/>
        <v>521</v>
      </c>
      <c r="BH33" s="50">
        <f t="shared" si="5"/>
        <v>678</v>
      </c>
      <c r="BI33" s="50">
        <f t="shared" si="39"/>
        <v>962.5</v>
      </c>
      <c r="BJ33" s="236">
        <f t="shared" si="40"/>
        <v>657.33333333333326</v>
      </c>
      <c r="BK33" s="236">
        <f t="shared" si="41"/>
        <v>1991</v>
      </c>
      <c r="BL33" s="236">
        <f t="shared" si="42"/>
        <v>840</v>
      </c>
      <c r="BM33" s="230">
        <f t="shared" si="43"/>
        <v>5649.833333333333</v>
      </c>
      <c r="BN33" s="253">
        <f t="shared" si="44"/>
        <v>279.25</v>
      </c>
      <c r="BO33" s="50">
        <f t="shared" si="6"/>
        <v>432.33333333333331</v>
      </c>
      <c r="BP33" s="50">
        <f t="shared" si="45"/>
        <v>962.5</v>
      </c>
      <c r="BQ33" s="236">
        <f t="shared" si="46"/>
        <v>255.33333333333331</v>
      </c>
      <c r="BR33" s="230">
        <f t="shared" si="47"/>
        <v>1929.4166666666665</v>
      </c>
    </row>
    <row r="34" spans="1:70" x14ac:dyDescent="0.25">
      <c r="A34" s="232" t="s">
        <v>28</v>
      </c>
      <c r="B34" s="38">
        <v>245</v>
      </c>
      <c r="C34" s="38">
        <v>136</v>
      </c>
      <c r="D34" s="38">
        <v>278</v>
      </c>
      <c r="E34" s="38">
        <v>333</v>
      </c>
      <c r="F34" s="38">
        <v>82</v>
      </c>
      <c r="G34" s="38">
        <v>117</v>
      </c>
      <c r="H34" s="38">
        <v>242</v>
      </c>
      <c r="I34" s="38">
        <v>83</v>
      </c>
      <c r="J34" s="38">
        <v>9</v>
      </c>
      <c r="K34" s="38">
        <v>143</v>
      </c>
      <c r="L34" s="38">
        <v>121</v>
      </c>
      <c r="M34" s="38">
        <v>77</v>
      </c>
      <c r="N34" s="38">
        <v>445</v>
      </c>
      <c r="O34" s="38">
        <v>122</v>
      </c>
      <c r="P34" s="38">
        <v>161</v>
      </c>
      <c r="Q34" s="38">
        <v>98</v>
      </c>
      <c r="R34" s="50">
        <v>194</v>
      </c>
      <c r="S34" s="38">
        <v>201</v>
      </c>
      <c r="T34" s="38">
        <v>121</v>
      </c>
      <c r="U34" s="38">
        <v>457</v>
      </c>
      <c r="V34" s="166">
        <v>15</v>
      </c>
      <c r="W34" s="42">
        <f t="shared" si="7"/>
        <v>3680</v>
      </c>
      <c r="X34" s="243">
        <f t="shared" si="8"/>
        <v>81.666666666666657</v>
      </c>
      <c r="Y34" s="38">
        <f t="shared" si="9"/>
        <v>166.5</v>
      </c>
      <c r="Z34" s="38">
        <f t="shared" si="10"/>
        <v>82</v>
      </c>
      <c r="AA34" s="38">
        <f t="shared" si="11"/>
        <v>117</v>
      </c>
      <c r="AB34" s="38">
        <f t="shared" si="12"/>
        <v>242</v>
      </c>
      <c r="AC34" s="38">
        <f t="shared" si="13"/>
        <v>83</v>
      </c>
      <c r="AD34" s="38">
        <f t="shared" si="14"/>
        <v>4.5</v>
      </c>
      <c r="AE34" s="38">
        <f t="shared" si="15"/>
        <v>71.5</v>
      </c>
      <c r="AF34" s="38">
        <f t="shared" si="16"/>
        <v>80.5</v>
      </c>
      <c r="AG34" s="38">
        <f t="shared" si="17"/>
        <v>98</v>
      </c>
      <c r="AH34" s="50">
        <f t="shared" si="18"/>
        <v>194</v>
      </c>
      <c r="AI34" s="166">
        <f t="shared" si="0"/>
        <v>1220.6666666666665</v>
      </c>
      <c r="AJ34" s="243">
        <f t="shared" si="19"/>
        <v>81.666666666666657</v>
      </c>
      <c r="AK34" s="38">
        <f t="shared" si="20"/>
        <v>166.5</v>
      </c>
      <c r="AL34" s="38">
        <f t="shared" si="21"/>
        <v>4.5</v>
      </c>
      <c r="AM34" s="38">
        <f t="shared" si="22"/>
        <v>71.5</v>
      </c>
      <c r="AN34" s="38">
        <f t="shared" si="23"/>
        <v>80.5</v>
      </c>
      <c r="AO34" s="38">
        <f t="shared" si="24"/>
        <v>100.5</v>
      </c>
      <c r="AP34" s="42">
        <f t="shared" si="25"/>
        <v>505.16666666666663</v>
      </c>
      <c r="AQ34" s="167">
        <f t="shared" si="1"/>
        <v>81.666666666666657</v>
      </c>
      <c r="AR34" s="38">
        <f t="shared" si="2"/>
        <v>92.666666666666657</v>
      </c>
      <c r="AS34" s="38">
        <f t="shared" si="26"/>
        <v>30.25</v>
      </c>
      <c r="AT34" s="38">
        <f t="shared" si="27"/>
        <v>40.666666666666664</v>
      </c>
      <c r="AU34" s="38">
        <f t="shared" si="28"/>
        <v>100.5</v>
      </c>
      <c r="AV34" s="42">
        <f t="shared" si="29"/>
        <v>345.75</v>
      </c>
      <c r="AW34" s="167">
        <f t="shared" si="3"/>
        <v>68</v>
      </c>
      <c r="AX34" s="38">
        <f t="shared" si="4"/>
        <v>92.666666666666657</v>
      </c>
      <c r="AY34" s="38">
        <f t="shared" si="30"/>
        <v>30.25</v>
      </c>
      <c r="AZ34" s="166">
        <f t="shared" si="31"/>
        <v>40.666666666666664</v>
      </c>
      <c r="BA34" s="166">
        <f t="shared" si="32"/>
        <v>40.333333333333329</v>
      </c>
      <c r="BB34" s="42">
        <f t="shared" si="33"/>
        <v>271.91666666666663</v>
      </c>
      <c r="BC34" s="243">
        <f t="shared" si="34"/>
        <v>68</v>
      </c>
      <c r="BD34" s="38">
        <f t="shared" si="35"/>
        <v>30.25</v>
      </c>
      <c r="BE34" s="166">
        <f t="shared" si="36"/>
        <v>40.333333333333329</v>
      </c>
      <c r="BF34" s="166">
        <f t="shared" si="37"/>
        <v>138.58333333333331</v>
      </c>
      <c r="BG34" s="243">
        <f t="shared" si="38"/>
        <v>30.25</v>
      </c>
      <c r="BH34" s="38">
        <f t="shared" si="5"/>
        <v>77</v>
      </c>
      <c r="BI34" s="38">
        <f t="shared" si="39"/>
        <v>222.5</v>
      </c>
      <c r="BJ34" s="166">
        <f t="shared" si="40"/>
        <v>40.333333333333329</v>
      </c>
      <c r="BK34" s="166">
        <f t="shared" si="41"/>
        <v>457</v>
      </c>
      <c r="BL34" s="166">
        <f t="shared" si="42"/>
        <v>15</v>
      </c>
      <c r="BM34" s="42">
        <f t="shared" si="43"/>
        <v>842.08333333333326</v>
      </c>
      <c r="BN34" s="167">
        <f t="shared" si="44"/>
        <v>34</v>
      </c>
      <c r="BO34" s="38">
        <f t="shared" si="6"/>
        <v>92.666666666666657</v>
      </c>
      <c r="BP34" s="38">
        <f t="shared" si="45"/>
        <v>222.5</v>
      </c>
      <c r="BQ34" s="166">
        <f t="shared" si="46"/>
        <v>40.666666666666664</v>
      </c>
      <c r="BR34" s="42">
        <f t="shared" si="47"/>
        <v>389.83333333333331</v>
      </c>
    </row>
    <row r="35" spans="1:70" x14ac:dyDescent="0.25">
      <c r="A35" s="232" t="s">
        <v>670</v>
      </c>
      <c r="B35" s="38">
        <v>188300</v>
      </c>
      <c r="C35" s="38">
        <v>248600</v>
      </c>
      <c r="D35" s="38">
        <v>113600</v>
      </c>
      <c r="E35" s="38">
        <v>71300</v>
      </c>
      <c r="F35" s="38">
        <v>88500</v>
      </c>
      <c r="G35" s="38">
        <v>170600</v>
      </c>
      <c r="H35" s="38">
        <v>336600</v>
      </c>
      <c r="I35" s="38">
        <v>255100</v>
      </c>
      <c r="J35" s="38" t="s">
        <v>673</v>
      </c>
      <c r="K35" s="38">
        <v>225000</v>
      </c>
      <c r="L35" s="38">
        <v>170900</v>
      </c>
      <c r="M35" s="38">
        <v>74600</v>
      </c>
      <c r="N35" s="38">
        <v>58800</v>
      </c>
      <c r="O35" s="38">
        <v>79000</v>
      </c>
      <c r="P35" s="38">
        <v>81000</v>
      </c>
      <c r="Q35" s="38">
        <v>86500</v>
      </c>
      <c r="R35" s="50">
        <v>125300</v>
      </c>
      <c r="S35" s="38">
        <v>90700</v>
      </c>
      <c r="T35" s="38">
        <v>139400</v>
      </c>
      <c r="U35" s="38">
        <v>94600</v>
      </c>
      <c r="V35" s="166">
        <v>165500</v>
      </c>
      <c r="W35" s="230">
        <f>((B35*B32)+(C35*C32)+(D35*D32)+(E35*E32)+(F35*F32)+(G35*G32)+(H35*H32)+(I35*I32)+(K35*K32)+(L35*L32)+(M35*M32)+(N35*N32)+(O35*O32)+(P35*P32)+(Q35*Q32)+(R35*R32)+(S35*S32)+(T35*T32)+(U35*U32)+(V35*V32))/(W32-J32)</f>
        <v>149043.44159694316</v>
      </c>
      <c r="X35" s="243">
        <f t="shared" ref="X35" si="49">B35</f>
        <v>188300</v>
      </c>
      <c r="Y35" s="38">
        <f t="shared" ref="Y35" si="50">E35</f>
        <v>71300</v>
      </c>
      <c r="Z35" s="38">
        <f t="shared" ref="Z35" si="51">F35</f>
        <v>88500</v>
      </c>
      <c r="AA35" s="38">
        <f t="shared" ref="AA35" si="52">G35</f>
        <v>170600</v>
      </c>
      <c r="AB35" s="38">
        <f t="shared" ref="AB35" si="53">H35</f>
        <v>336600</v>
      </c>
      <c r="AC35" s="38">
        <f t="shared" ref="AC35" si="54">I35</f>
        <v>255100</v>
      </c>
      <c r="AD35" s="38" t="str">
        <f>J35</f>
        <v>N/A</v>
      </c>
      <c r="AE35" s="38">
        <f>K35</f>
        <v>225000</v>
      </c>
      <c r="AF35" s="38">
        <f>P35</f>
        <v>81000</v>
      </c>
      <c r="AG35" s="38">
        <f t="shared" ref="AG35" si="55">Q35</f>
        <v>86500</v>
      </c>
      <c r="AH35" s="50">
        <f t="shared" ref="AH35" si="56">R35</f>
        <v>125300</v>
      </c>
      <c r="AI35" s="166">
        <f>((X35*$X$32)+(Y35*$Y$32)+(Z35*$Z$32)+(AA35*$AA$32)+(AB35*$AB$32)+(AC35*$AC$32)+(AE35*$AE$32)+(AF35*$AF$32)+(AG35*$AG$32)+(AH35*$AH$32))/($AI$32-$AD$32)</f>
        <v>189284.18036721469</v>
      </c>
      <c r="AJ35" s="243">
        <f t="shared" ref="AJ35" si="57">B35</f>
        <v>188300</v>
      </c>
      <c r="AK35" s="38">
        <f t="shared" ref="AK35" si="58">E35</f>
        <v>71300</v>
      </c>
      <c r="AL35" s="321" t="str">
        <f t="shared" ref="AL35" si="59">J35</f>
        <v>N/A</v>
      </c>
      <c r="AM35" s="38">
        <f t="shared" ref="AM35" si="60">K35</f>
        <v>225000</v>
      </c>
      <c r="AN35" s="38">
        <f t="shared" ref="AN35" si="61">P35</f>
        <v>81000</v>
      </c>
      <c r="AO35" s="38">
        <f t="shared" ref="AO35" si="62">S35</f>
        <v>90700</v>
      </c>
      <c r="AP35" s="42">
        <f>((AJ35*$AJ$32)+(AK35*$AK$32)+(AM35*$AM$32)+(AN35*$AN$32)+(AO35*$AO$32))/($AP$32-AL32)</f>
        <v>125151.00054350511</v>
      </c>
      <c r="AQ35" s="167">
        <f t="shared" ref="AQ35" si="63">B35</f>
        <v>188300</v>
      </c>
      <c r="AR35" s="38">
        <f t="shared" ref="AR35" si="64">D35</f>
        <v>113600</v>
      </c>
      <c r="AS35" s="38">
        <f t="shared" ref="AS35" si="65">L35</f>
        <v>170900</v>
      </c>
      <c r="AT35" s="38">
        <f>O35</f>
        <v>79000</v>
      </c>
      <c r="AU35" s="38">
        <f>S35</f>
        <v>90700</v>
      </c>
      <c r="AV35" s="42">
        <f>((AQ35*$AQ$32)+(AR35*$AR$32)+(AS35*$AS$32)+(AT35*$AT$32)+(AU35*$AU$32))/$AV$32</f>
        <v>135049.83508156775</v>
      </c>
      <c r="AW35" s="167">
        <f t="shared" ref="AW35" si="66">C35</f>
        <v>248600</v>
      </c>
      <c r="AX35" s="38">
        <f t="shared" ref="AX35" si="67">D35</f>
        <v>113600</v>
      </c>
      <c r="AY35" s="38">
        <f t="shared" ref="AY35" si="68">L35</f>
        <v>170900</v>
      </c>
      <c r="AZ35" s="166">
        <f t="shared" ref="AZ35" si="69">O35</f>
        <v>79000</v>
      </c>
      <c r="BA35" s="166">
        <f>T35</f>
        <v>139400</v>
      </c>
      <c r="BB35" s="42">
        <f>((AW35*$AW$36)+(AX35*$AX$36)+(AY35*$AY$36)+(AZ35*$AZ$36)+(BA35*$BA$36))/$BB$36</f>
        <v>154562.33908185569</v>
      </c>
      <c r="BC35" s="243">
        <f t="shared" ref="BC35" si="70">C35</f>
        <v>248600</v>
      </c>
      <c r="BD35" s="38">
        <f t="shared" ref="BD35" si="71">L35</f>
        <v>170900</v>
      </c>
      <c r="BE35" s="166">
        <f>T35</f>
        <v>139400</v>
      </c>
      <c r="BF35" s="166">
        <f>((BC35*$BC$36)+(BD35*$BD$36)+(BE35*$BE$36))/$BF$36</f>
        <v>179163.97216274089</v>
      </c>
      <c r="BG35" s="243">
        <f>L35</f>
        <v>170900</v>
      </c>
      <c r="BH35" s="38">
        <f>M35</f>
        <v>74600</v>
      </c>
      <c r="BI35" s="38">
        <f>N35</f>
        <v>58800</v>
      </c>
      <c r="BJ35" s="166">
        <f>T35</f>
        <v>139400</v>
      </c>
      <c r="BK35" s="166">
        <f t="shared" ref="BK35" si="72">U35</f>
        <v>94600</v>
      </c>
      <c r="BL35" s="166">
        <f t="shared" ref="BL35" si="73">V35</f>
        <v>165500</v>
      </c>
      <c r="BM35" s="42">
        <f>((BG35*$BG$36)+(BH35*$BH$36)+(BI35*$BI$36)+(BJ35*$BJ$36)+(BK35*$BK$36)+(BL35*$BL$36))/$BM$36</f>
        <v>111084.33812314361</v>
      </c>
      <c r="BN35" s="167">
        <f t="shared" ref="BN35" si="74">C35</f>
        <v>248600</v>
      </c>
      <c r="BO35" s="38">
        <f t="shared" ref="BO35" si="75">D35</f>
        <v>113600</v>
      </c>
      <c r="BP35" s="38">
        <f t="shared" ref="BP35" si="76">N35</f>
        <v>58800</v>
      </c>
      <c r="BQ35" s="166">
        <f t="shared" ref="BQ35" si="77">O35</f>
        <v>79000</v>
      </c>
      <c r="BR35" s="42">
        <f t="shared" ref="BR35" si="78">((BN35*$BN$36)+(BO35*$BO$36)+(BP35*$BP$36)+(BQ35*$BQ$36))/$BR$36</f>
        <v>101770.00913848967</v>
      </c>
    </row>
    <row r="36" spans="1:70" x14ac:dyDescent="0.25">
      <c r="A36" s="192" t="s">
        <v>46</v>
      </c>
      <c r="B36" s="38">
        <v>1733</v>
      </c>
      <c r="C36" s="38">
        <v>1016</v>
      </c>
      <c r="D36" s="38">
        <v>1759</v>
      </c>
      <c r="E36" s="38">
        <v>1187</v>
      </c>
      <c r="F36" s="38">
        <v>586</v>
      </c>
      <c r="G36" s="38">
        <v>1791</v>
      </c>
      <c r="H36" s="38">
        <v>2387</v>
      </c>
      <c r="I36" s="38">
        <v>1234</v>
      </c>
      <c r="J36" s="38">
        <v>1282</v>
      </c>
      <c r="K36" s="38">
        <v>2190</v>
      </c>
      <c r="L36" s="38">
        <v>2388</v>
      </c>
      <c r="M36" s="38">
        <v>721</v>
      </c>
      <c r="N36" s="38">
        <v>1751</v>
      </c>
      <c r="O36" s="38">
        <v>871</v>
      </c>
      <c r="P36" s="38">
        <v>1110</v>
      </c>
      <c r="Q36" s="38">
        <v>927</v>
      </c>
      <c r="R36" s="50">
        <v>1294</v>
      </c>
      <c r="S36" s="38">
        <v>1590</v>
      </c>
      <c r="T36" s="38">
        <v>2289</v>
      </c>
      <c r="U36" s="38">
        <v>2303</v>
      </c>
      <c r="V36" s="166">
        <v>969</v>
      </c>
      <c r="W36" s="42">
        <f t="shared" si="7"/>
        <v>31378</v>
      </c>
      <c r="X36" s="243">
        <f t="shared" si="8"/>
        <v>577.66666666666663</v>
      </c>
      <c r="Y36" s="38">
        <f t="shared" si="9"/>
        <v>593.5</v>
      </c>
      <c r="Z36" s="38">
        <f t="shared" si="10"/>
        <v>586</v>
      </c>
      <c r="AA36" s="38">
        <f t="shared" si="11"/>
        <v>1791</v>
      </c>
      <c r="AB36" s="38">
        <f t="shared" si="12"/>
        <v>2387</v>
      </c>
      <c r="AC36" s="38">
        <f t="shared" si="13"/>
        <v>1234</v>
      </c>
      <c r="AD36" s="38">
        <f t="shared" si="14"/>
        <v>641</v>
      </c>
      <c r="AE36" s="38">
        <f t="shared" si="15"/>
        <v>1095</v>
      </c>
      <c r="AF36" s="38">
        <f t="shared" si="16"/>
        <v>555</v>
      </c>
      <c r="AG36" s="38">
        <f t="shared" si="17"/>
        <v>927</v>
      </c>
      <c r="AH36" s="50">
        <f t="shared" si="18"/>
        <v>1294</v>
      </c>
      <c r="AI36" s="166">
        <f t="shared" si="0"/>
        <v>11681.166666666666</v>
      </c>
      <c r="AJ36" s="243">
        <f t="shared" si="19"/>
        <v>577.66666666666663</v>
      </c>
      <c r="AK36" s="38">
        <f t="shared" si="20"/>
        <v>593.5</v>
      </c>
      <c r="AL36" s="38">
        <f t="shared" si="21"/>
        <v>641</v>
      </c>
      <c r="AM36" s="38">
        <f t="shared" si="22"/>
        <v>1095</v>
      </c>
      <c r="AN36" s="38">
        <f t="shared" si="23"/>
        <v>555</v>
      </c>
      <c r="AO36" s="38">
        <f t="shared" si="24"/>
        <v>795</v>
      </c>
      <c r="AP36" s="42">
        <f t="shared" si="25"/>
        <v>4257.1666666666661</v>
      </c>
      <c r="AQ36" s="167">
        <f t="shared" si="1"/>
        <v>577.66666666666663</v>
      </c>
      <c r="AR36" s="38">
        <f t="shared" si="2"/>
        <v>586.33333333333326</v>
      </c>
      <c r="AS36" s="38">
        <f t="shared" si="26"/>
        <v>597</v>
      </c>
      <c r="AT36" s="38">
        <f t="shared" si="27"/>
        <v>290.33333333333331</v>
      </c>
      <c r="AU36" s="38">
        <f t="shared" si="28"/>
        <v>795</v>
      </c>
      <c r="AV36" s="42">
        <f t="shared" si="29"/>
        <v>2846.3333333333335</v>
      </c>
      <c r="AW36" s="167">
        <f t="shared" si="3"/>
        <v>508</v>
      </c>
      <c r="AX36" s="38">
        <f t="shared" si="4"/>
        <v>586.33333333333326</v>
      </c>
      <c r="AY36" s="38">
        <f t="shared" si="30"/>
        <v>597</v>
      </c>
      <c r="AZ36" s="166">
        <f t="shared" si="31"/>
        <v>290.33333333333331</v>
      </c>
      <c r="BA36" s="166">
        <f t="shared" si="32"/>
        <v>763</v>
      </c>
      <c r="BB36" s="42">
        <f t="shared" si="33"/>
        <v>2744.6666666666665</v>
      </c>
      <c r="BC36" s="243">
        <f t="shared" si="34"/>
        <v>508</v>
      </c>
      <c r="BD36" s="38">
        <f t="shared" si="35"/>
        <v>597</v>
      </c>
      <c r="BE36" s="166">
        <f t="shared" si="36"/>
        <v>763</v>
      </c>
      <c r="BF36" s="166">
        <f t="shared" si="37"/>
        <v>1868</v>
      </c>
      <c r="BG36" s="243">
        <f t="shared" si="38"/>
        <v>597</v>
      </c>
      <c r="BH36" s="38">
        <f t="shared" si="5"/>
        <v>721</v>
      </c>
      <c r="BI36" s="38">
        <f t="shared" si="39"/>
        <v>875.5</v>
      </c>
      <c r="BJ36" s="166">
        <f t="shared" si="40"/>
        <v>763</v>
      </c>
      <c r="BK36" s="166">
        <f t="shared" si="41"/>
        <v>2303</v>
      </c>
      <c r="BL36" s="166">
        <f t="shared" si="42"/>
        <v>969</v>
      </c>
      <c r="BM36" s="42">
        <f t="shared" si="43"/>
        <v>6228.5</v>
      </c>
      <c r="BN36" s="167">
        <f t="shared" si="44"/>
        <v>254</v>
      </c>
      <c r="BO36" s="38">
        <f t="shared" si="6"/>
        <v>586.33333333333326</v>
      </c>
      <c r="BP36" s="38">
        <f t="shared" si="45"/>
        <v>875.5</v>
      </c>
      <c r="BQ36" s="166">
        <f t="shared" si="46"/>
        <v>290.33333333333331</v>
      </c>
      <c r="BR36" s="42">
        <f t="shared" si="47"/>
        <v>2006.1666666666665</v>
      </c>
    </row>
    <row r="37" spans="1:70" ht="15" customHeight="1" x14ac:dyDescent="0.25">
      <c r="A37" s="192" t="s">
        <v>424</v>
      </c>
      <c r="B37" s="38"/>
      <c r="C37" s="38"/>
      <c r="D37" s="38"/>
      <c r="E37" s="38"/>
      <c r="F37" s="38"/>
      <c r="G37" s="38"/>
      <c r="H37" s="38"/>
      <c r="I37" s="38"/>
      <c r="J37" s="38"/>
      <c r="K37" s="38"/>
      <c r="L37" s="38"/>
      <c r="M37" s="38"/>
      <c r="N37" s="38"/>
      <c r="O37" s="38"/>
      <c r="P37" s="38"/>
      <c r="Q37" s="38"/>
      <c r="R37" s="50"/>
      <c r="S37" s="38"/>
      <c r="T37" s="38"/>
      <c r="U37" s="38"/>
      <c r="V37" s="166"/>
      <c r="W37" s="42"/>
      <c r="X37" s="243"/>
      <c r="Y37" s="5"/>
      <c r="Z37" s="38"/>
      <c r="AA37" s="38"/>
      <c r="AB37" s="38"/>
      <c r="AC37" s="38"/>
      <c r="AD37" s="38"/>
      <c r="AE37" s="5"/>
      <c r="AF37" s="5"/>
      <c r="AG37" s="5"/>
      <c r="AH37" s="50"/>
      <c r="AI37" s="237"/>
      <c r="AJ37" s="243"/>
      <c r="AK37" s="5"/>
      <c r="AL37" s="5"/>
      <c r="AM37" s="5"/>
      <c r="AN37" s="5"/>
      <c r="AO37" s="5"/>
      <c r="AP37" s="43"/>
      <c r="AQ37" s="167"/>
      <c r="AR37" s="5"/>
      <c r="AS37" s="5"/>
      <c r="AT37" s="5"/>
      <c r="AU37" s="5"/>
      <c r="AV37" s="43"/>
      <c r="AW37" s="167"/>
      <c r="AX37" s="5"/>
      <c r="AY37" s="5"/>
      <c r="AZ37" s="237"/>
      <c r="BA37" s="237"/>
      <c r="BB37" s="43"/>
      <c r="BC37" s="243"/>
      <c r="BD37" s="5"/>
      <c r="BE37" s="237"/>
      <c r="BF37" s="237"/>
      <c r="BG37" s="41"/>
      <c r="BH37" s="38"/>
      <c r="BI37" s="5"/>
      <c r="BJ37" s="237"/>
      <c r="BK37" s="237">
        <f t="shared" si="41"/>
        <v>0</v>
      </c>
      <c r="BL37" s="237">
        <f t="shared" si="42"/>
        <v>0</v>
      </c>
      <c r="BM37" s="43"/>
      <c r="BN37" s="167"/>
      <c r="BO37" s="5"/>
      <c r="BP37" s="5"/>
      <c r="BQ37" s="237"/>
      <c r="BR37" s="43"/>
    </row>
    <row r="38" spans="1:70" x14ac:dyDescent="0.25">
      <c r="A38" s="192" t="s">
        <v>425</v>
      </c>
      <c r="B38" s="35">
        <v>0.63</v>
      </c>
      <c r="C38" s="35">
        <v>0.67500000000000004</v>
      </c>
      <c r="D38" s="35">
        <v>0.66600000000000004</v>
      </c>
      <c r="E38" s="35">
        <v>0.79400000000000004</v>
      </c>
      <c r="F38" s="35">
        <v>0.877</v>
      </c>
      <c r="G38" s="35">
        <v>0.84799999999999998</v>
      </c>
      <c r="H38" s="35">
        <v>0.81899999999999995</v>
      </c>
      <c r="I38" s="35">
        <v>0.76500000000000001</v>
      </c>
      <c r="J38" s="35">
        <v>0.32500000000000001</v>
      </c>
      <c r="K38" s="35">
        <v>0.53200000000000003</v>
      </c>
      <c r="L38" s="194">
        <v>0.77600000000000002</v>
      </c>
      <c r="M38" s="35">
        <v>0.81399999999999995</v>
      </c>
      <c r="N38" s="35">
        <v>0.93400000000000005</v>
      </c>
      <c r="O38" s="35">
        <v>0.72299999999999998</v>
      </c>
      <c r="P38" s="315">
        <v>0.83199999999999996</v>
      </c>
      <c r="Q38" s="315">
        <v>0.93500000000000005</v>
      </c>
      <c r="R38" s="194">
        <v>0.89900000000000002</v>
      </c>
      <c r="S38" s="35">
        <v>0.66800000000000004</v>
      </c>
      <c r="T38" s="35">
        <v>0.89400000000000002</v>
      </c>
      <c r="U38" s="35">
        <v>0.86899999999999999</v>
      </c>
      <c r="V38" s="317">
        <v>0.85399999999999998</v>
      </c>
      <c r="W38" s="198">
        <f>((B38*$B$36)+(C38*$C$36)+(D38*$D$36)+(E38*$E$36)+(F38*$F$36)+(G38*$G$36)+(H38*$H$36)+(I38*$I$36)+(J38*$J$36)+(K38*$K$36)+(L38*$L$36)+(M38*$M$36)+(N38*$N$36)+(O38*$O$36)+(P38*$P$36)+(Q38*$Q$36)+(S38*$S$36)+(T38*$T$36)+(U38*$U$36)+(V38*$V$36))/$W$36</f>
        <v>0.7278245267384793</v>
      </c>
      <c r="X38" s="245">
        <f t="shared" ref="X38:X49" si="79">B38</f>
        <v>0.63</v>
      </c>
      <c r="Y38" s="35">
        <f t="shared" ref="Y38:Y49" si="80">E38</f>
        <v>0.79400000000000004</v>
      </c>
      <c r="Z38" s="35">
        <f t="shared" si="10"/>
        <v>0.877</v>
      </c>
      <c r="AA38" s="35">
        <f t="shared" si="11"/>
        <v>0.84799999999999998</v>
      </c>
      <c r="AB38" s="35">
        <f t="shared" si="12"/>
        <v>0.81899999999999995</v>
      </c>
      <c r="AC38" s="35">
        <f t="shared" si="13"/>
        <v>0.76500000000000001</v>
      </c>
      <c r="AD38" s="35">
        <f>J38</f>
        <v>0.32500000000000001</v>
      </c>
      <c r="AE38" s="35">
        <f>K38</f>
        <v>0.53200000000000003</v>
      </c>
      <c r="AF38" s="35">
        <f>P38</f>
        <v>0.83199999999999996</v>
      </c>
      <c r="AG38" s="35">
        <f t="shared" si="17"/>
        <v>0.93500000000000005</v>
      </c>
      <c r="AH38" s="194">
        <f t="shared" si="18"/>
        <v>0.89900000000000002</v>
      </c>
      <c r="AI38" s="238">
        <f>((X38*$X$36)+(Y38*$Y$36)+(Z38*$Z$36)+(AA38*$AA$36)+(AB38*$AB$36)+(AC38*$AC$36)+(AD38*$AD$36)+(AE38*$AE$36)+(AF38*$AF$36)+(AG38*$AG$36)+(AH38*$AH$36))/$AI$36</f>
        <v>0.77470840526773865</v>
      </c>
      <c r="AJ38" s="245">
        <f t="shared" ref="AJ38:AJ49" si="81">B38</f>
        <v>0.63</v>
      </c>
      <c r="AK38" s="35">
        <f t="shared" ref="AK38:AK49" si="82">E38</f>
        <v>0.79400000000000004</v>
      </c>
      <c r="AL38" s="35">
        <f>J38</f>
        <v>0.32500000000000001</v>
      </c>
      <c r="AM38" s="35">
        <f>K38</f>
        <v>0.53200000000000003</v>
      </c>
      <c r="AN38" s="35">
        <f>P38</f>
        <v>0.83199999999999996</v>
      </c>
      <c r="AO38" s="35">
        <f>S38</f>
        <v>0.66800000000000004</v>
      </c>
      <c r="AP38" s="195">
        <f>((AJ38*$AJ$36)+(AK38*$AK$36)+ (AL38*$AL$36)+(AM38*$AM$36)+(AN38*$AN$36)+(AO38*$AO$36))/$AP$36</f>
        <v>0.61516360646752544</v>
      </c>
      <c r="AQ38" s="254">
        <f t="shared" ref="AQ38:AQ49" si="83">B38</f>
        <v>0.63</v>
      </c>
      <c r="AR38" s="35">
        <f t="shared" ref="AR38:AR49" si="84">D38</f>
        <v>0.66600000000000004</v>
      </c>
      <c r="AS38" s="35">
        <f t="shared" ref="AS38:AS49" si="85">L38</f>
        <v>0.77600000000000002</v>
      </c>
      <c r="AT38" s="35">
        <f>O38</f>
        <v>0.72299999999999998</v>
      </c>
      <c r="AU38" s="35">
        <f>S38</f>
        <v>0.66800000000000004</v>
      </c>
      <c r="AV38" s="195">
        <f>((AQ38*$AQ$36)+(AR38*$AR$36)+(AS38*$AS$36)+(AT38*$AT$36)+(AU38*$AU$36))/$AV$36</f>
        <v>0.68813830659327802</v>
      </c>
      <c r="AW38" s="254">
        <f t="shared" ref="AW38:AW49" si="86">C38</f>
        <v>0.67500000000000004</v>
      </c>
      <c r="AX38" s="35">
        <f t="shared" ref="AX38:AX49" si="87">D38</f>
        <v>0.66600000000000004</v>
      </c>
      <c r="AY38" s="35">
        <f t="shared" ref="AY38:AY49" si="88">L38</f>
        <v>0.77600000000000002</v>
      </c>
      <c r="AZ38" s="238">
        <f t="shared" ref="AZ38:AZ49" si="89">O38</f>
        <v>0.72299999999999998</v>
      </c>
      <c r="BA38" s="238">
        <f>T38</f>
        <v>0.89400000000000002</v>
      </c>
      <c r="BB38" s="195">
        <f>((AW38*$AW$36)+(AX38*$AX$36)+(AY38*$AY$36)+(AZ38*$AZ$36)+(BA38*$BA$36))/$BB$36</f>
        <v>0.76100425066796218</v>
      </c>
      <c r="BC38" s="245">
        <f t="shared" ref="BC38:BC49" si="90">C38</f>
        <v>0.67500000000000004</v>
      </c>
      <c r="BD38" s="35">
        <f t="shared" ref="BD38:BD49" si="91">L38</f>
        <v>0.77600000000000002</v>
      </c>
      <c r="BE38" s="238">
        <f>T38</f>
        <v>0.89400000000000002</v>
      </c>
      <c r="BF38" s="238">
        <f>((BC38*$BC$36)+(BD38*$BD$36)+(BE38*$BE$36))/$BF$36</f>
        <v>0.79673126338329758</v>
      </c>
      <c r="BG38" s="241">
        <f>L38</f>
        <v>0.77600000000000002</v>
      </c>
      <c r="BH38" s="194">
        <f>M38</f>
        <v>0.81399999999999995</v>
      </c>
      <c r="BI38" s="35">
        <f>N38</f>
        <v>0.93400000000000005</v>
      </c>
      <c r="BJ38" s="238">
        <f>T38</f>
        <v>0.89400000000000002</v>
      </c>
      <c r="BK38" s="238">
        <f t="shared" si="41"/>
        <v>0.86899999999999999</v>
      </c>
      <c r="BL38" s="238">
        <f t="shared" si="42"/>
        <v>0.85399999999999998</v>
      </c>
      <c r="BM38" s="195">
        <f>((BG38*$BG$36)+(BH38*$BH$36)+(BI38*$BI$36)+(BJ38*$BJ$36)+(BK38*$BK$36)+(BL38*$BL$36))/$BM$36</f>
        <v>0.86358481175242829</v>
      </c>
      <c r="BN38" s="254">
        <f t="shared" ref="BN38:BN49" si="92">C38</f>
        <v>0.67500000000000004</v>
      </c>
      <c r="BO38" s="35">
        <f t="shared" ref="BO38:BO49" si="93">D38</f>
        <v>0.66600000000000004</v>
      </c>
      <c r="BP38" s="35">
        <f t="shared" ref="BP38:BP49" si="94">N38</f>
        <v>0.93400000000000005</v>
      </c>
      <c r="BQ38" s="238">
        <f t="shared" ref="BQ38:BQ49" si="95">O38</f>
        <v>0.72299999999999998</v>
      </c>
      <c r="BR38" s="195">
        <f t="shared" ref="BR38:BR49" si="96">((BN38*$BN$36)+(BO38*$BO$36)+(BP38*$BP$36)+(BQ38*$BQ$36))/$BR$36</f>
        <v>0.79234493644595838</v>
      </c>
    </row>
    <row r="39" spans="1:70" x14ac:dyDescent="0.25">
      <c r="A39" s="192" t="s">
        <v>33</v>
      </c>
      <c r="B39" s="35">
        <v>0.55800000000000005</v>
      </c>
      <c r="C39" s="35">
        <v>0.57499999999999996</v>
      </c>
      <c r="D39" s="35">
        <v>0.54800000000000004</v>
      </c>
      <c r="E39" s="35">
        <v>0.66</v>
      </c>
      <c r="F39" s="35">
        <v>0.79400000000000004</v>
      </c>
      <c r="G39" s="35">
        <v>0.78500000000000003</v>
      </c>
      <c r="H39" s="35">
        <v>0.79800000000000004</v>
      </c>
      <c r="I39" s="35">
        <v>0.71399999999999997</v>
      </c>
      <c r="J39" s="35">
        <v>0.28499999999999998</v>
      </c>
      <c r="K39" s="35">
        <v>0.48899999999999999</v>
      </c>
      <c r="L39" s="35">
        <v>0.70399999999999996</v>
      </c>
      <c r="M39" s="35">
        <v>0.76300000000000001</v>
      </c>
      <c r="N39" s="35">
        <v>0.82199999999999995</v>
      </c>
      <c r="O39" s="35">
        <v>0.57399999999999995</v>
      </c>
      <c r="P39" s="315">
        <v>0.69899999999999995</v>
      </c>
      <c r="Q39" s="315">
        <v>0.69</v>
      </c>
      <c r="R39" s="194">
        <v>0.78700000000000003</v>
      </c>
      <c r="S39" s="35">
        <v>0.61</v>
      </c>
      <c r="T39" s="35">
        <v>0.76300000000000001</v>
      </c>
      <c r="U39" s="35">
        <v>0.5</v>
      </c>
      <c r="V39" s="317">
        <v>0.76800000000000002</v>
      </c>
      <c r="W39" s="198">
        <f t="shared" ref="W39:W60" si="97">((B39*$B$36)+(C39*$C$36)+(D39*$D$36)+(E39*$E$36)+(F39*$F$36)+(G39*$G$36)+(H39*$H$36)+(I39*$I$36)+(J39*$J$36)+(K39*$K$36)+(L39*$L$36)+(M39*$M$36)+(N39*$N$36)+(O39*$O$36)+(P39*$P$36)+(Q39*$Q$36)+(S39*$S$36)+(T39*$T$36)+(U39*$U$36)+(V39*$V$36))/$W$36</f>
        <v>0.62432714003441903</v>
      </c>
      <c r="X39" s="245">
        <f t="shared" si="79"/>
        <v>0.55800000000000005</v>
      </c>
      <c r="Y39" s="35">
        <f t="shared" si="80"/>
        <v>0.66</v>
      </c>
      <c r="Z39" s="35">
        <f t="shared" si="10"/>
        <v>0.79400000000000004</v>
      </c>
      <c r="AA39" s="35">
        <f t="shared" si="11"/>
        <v>0.78500000000000003</v>
      </c>
      <c r="AB39" s="35">
        <f t="shared" si="12"/>
        <v>0.79800000000000004</v>
      </c>
      <c r="AC39" s="35">
        <f t="shared" si="13"/>
        <v>0.71399999999999997</v>
      </c>
      <c r="AD39" s="35">
        <f t="shared" ref="AD39:AD60" si="98">J39</f>
        <v>0.28499999999999998</v>
      </c>
      <c r="AE39" s="35">
        <f t="shared" ref="AE39:AE49" si="99">K39</f>
        <v>0.48899999999999999</v>
      </c>
      <c r="AF39" s="35">
        <f t="shared" ref="AF39:AF66" si="100">P39</f>
        <v>0.69899999999999995</v>
      </c>
      <c r="AG39" s="35">
        <f t="shared" si="17"/>
        <v>0.69</v>
      </c>
      <c r="AH39" s="194">
        <f t="shared" si="18"/>
        <v>0.78700000000000003</v>
      </c>
      <c r="AI39" s="238">
        <f t="shared" ref="AI39:AI60" si="101">((X39*$X$36)+(Y39*$Y$36)+(Z39*$Z$36)+(AA39*$AA$36)+(AB39*$AB$36)+(AC39*$AC$36)+(AD39*$AD$36)+(AE39*$AE$36)+(AF39*$AF$36)+(AG39*$AG$36)+(AH39*$AH$36))/$AI$36</f>
        <v>0.69644259277754794</v>
      </c>
      <c r="AJ39" s="245">
        <f t="shared" si="81"/>
        <v>0.55800000000000005</v>
      </c>
      <c r="AK39" s="35">
        <f t="shared" si="82"/>
        <v>0.66</v>
      </c>
      <c r="AL39" s="35">
        <f t="shared" ref="AL39:AL60" si="102">J39</f>
        <v>0.28499999999999998</v>
      </c>
      <c r="AM39" s="35">
        <f t="shared" ref="AM39:AM49" si="103">K39</f>
        <v>0.48899999999999999</v>
      </c>
      <c r="AN39" s="35">
        <f t="shared" ref="AN39:AN60" si="104">P39</f>
        <v>0.69899999999999995</v>
      </c>
      <c r="AO39" s="35">
        <f t="shared" ref="AO39:AO60" si="105">S39</f>
        <v>0.61</v>
      </c>
      <c r="AP39" s="195">
        <f t="shared" ref="AP39:AP60" si="106">((AJ39*$AJ$36)+(AK39*$AK$36)+ (AL39*$AL$36)+(AM39*$AM$36)+(AN39*$AN$36)+(AO39*$AO$36))/$AP$36</f>
        <v>0.54145942136788949</v>
      </c>
      <c r="AQ39" s="254">
        <f t="shared" si="83"/>
        <v>0.55800000000000005</v>
      </c>
      <c r="AR39" s="35">
        <f t="shared" si="84"/>
        <v>0.54800000000000004</v>
      </c>
      <c r="AS39" s="35">
        <f t="shared" si="85"/>
        <v>0.70399999999999996</v>
      </c>
      <c r="AT39" s="35">
        <f t="shared" ref="AT39:AT60" si="107">O39</f>
        <v>0.57399999999999995</v>
      </c>
      <c r="AU39" s="35">
        <f t="shared" ref="AU39:AU60" si="108">S39</f>
        <v>0.61</v>
      </c>
      <c r="AV39" s="195">
        <f>((AQ39*$AQ$36)+(AR39*$AR$36)+(AS39*$AS$36)+(AT39*$AT$36)+(AU39*$AU$36))/$AV$36</f>
        <v>0.60271858531443956</v>
      </c>
      <c r="AW39" s="254">
        <f t="shared" si="86"/>
        <v>0.57499999999999996</v>
      </c>
      <c r="AX39" s="35">
        <f t="shared" si="87"/>
        <v>0.54800000000000004</v>
      </c>
      <c r="AY39" s="35">
        <f t="shared" si="88"/>
        <v>0.70399999999999996</v>
      </c>
      <c r="AZ39" s="238">
        <f t="shared" si="89"/>
        <v>0.57399999999999995</v>
      </c>
      <c r="BA39" s="238">
        <f t="shared" ref="BA39:BA60" si="109">T39</f>
        <v>0.76300000000000001</v>
      </c>
      <c r="BB39" s="195">
        <f>((AW39*$AW$36)+(AX39*$AX$36)+(AY39*$AY$36)+(AZ39*$AZ$36)+(BA39*$BA$36))/$BB$36</f>
        <v>0.64944826329851835</v>
      </c>
      <c r="BC39" s="245">
        <f t="shared" si="90"/>
        <v>0.57499999999999996</v>
      </c>
      <c r="BD39" s="35">
        <f t="shared" si="91"/>
        <v>0.70399999999999996</v>
      </c>
      <c r="BE39" s="238">
        <f t="shared" ref="BE39:BE60" si="110">T39</f>
        <v>0.76300000000000001</v>
      </c>
      <c r="BF39" s="238">
        <f t="shared" ref="BF39:BF60" si="111">((BC39*$BC$36)+(BD39*$BD$36)+(BE39*$BE$36))/$BF$36</f>
        <v>0.69301766595289072</v>
      </c>
      <c r="BG39" s="241">
        <f t="shared" ref="BG39:BG60" si="112">L39</f>
        <v>0.70399999999999996</v>
      </c>
      <c r="BH39" s="194">
        <f t="shared" ref="BH39:BH49" si="113">M39</f>
        <v>0.76300000000000001</v>
      </c>
      <c r="BI39" s="35">
        <f t="shared" ref="BI39:BI49" si="114">N39</f>
        <v>0.82199999999999995</v>
      </c>
      <c r="BJ39" s="238">
        <f t="shared" ref="BJ39:BJ60" si="115">T39</f>
        <v>0.76300000000000001</v>
      </c>
      <c r="BK39" s="238">
        <f t="shared" si="41"/>
        <v>0.5</v>
      </c>
      <c r="BL39" s="238">
        <f t="shared" si="42"/>
        <v>0.76800000000000002</v>
      </c>
      <c r="BM39" s="195">
        <f t="shared" ref="BM39:BM60" si="116">((BG39*$BG$36)+(BH39*$BH$36)+(BI39*$BI$36)+(BJ39*$BJ$36)+(BK39*$BK$36)+(BL39*$BL$36))/$BM$36</f>
        <v>0.66917122902785586</v>
      </c>
      <c r="BN39" s="254">
        <f t="shared" si="92"/>
        <v>0.57499999999999996</v>
      </c>
      <c r="BO39" s="35">
        <f t="shared" si="93"/>
        <v>0.54800000000000004</v>
      </c>
      <c r="BP39" s="35">
        <f t="shared" si="94"/>
        <v>0.82199999999999995</v>
      </c>
      <c r="BQ39" s="238">
        <f t="shared" si="95"/>
        <v>0.57399999999999995</v>
      </c>
      <c r="BR39" s="195">
        <f t="shared" si="96"/>
        <v>0.67475600232616095</v>
      </c>
    </row>
    <row r="40" spans="1:70" x14ac:dyDescent="0.25">
      <c r="A40" s="192" t="s">
        <v>426</v>
      </c>
      <c r="B40" s="35">
        <v>7.1999999999999995E-2</v>
      </c>
      <c r="C40" s="35">
        <v>0.1</v>
      </c>
      <c r="D40" s="35">
        <v>0.11799999999999999</v>
      </c>
      <c r="E40" s="35">
        <v>0.13400000000000001</v>
      </c>
      <c r="F40" s="35">
        <v>8.4000000000000005E-2</v>
      </c>
      <c r="G40" s="35">
        <v>6.3E-2</v>
      </c>
      <c r="H40" s="35">
        <v>2.1000000000000001E-2</v>
      </c>
      <c r="I40" s="35">
        <v>5.0999999999999997E-2</v>
      </c>
      <c r="J40" s="35">
        <v>4.1000000000000002E-2</v>
      </c>
      <c r="K40" s="35">
        <v>4.2999999999999997E-2</v>
      </c>
      <c r="L40" s="35">
        <v>7.0999999999999994E-2</v>
      </c>
      <c r="M40" s="35">
        <v>5.0999999999999997E-2</v>
      </c>
      <c r="N40" s="35">
        <v>0.112</v>
      </c>
      <c r="O40" s="35">
        <v>0.14899999999999999</v>
      </c>
      <c r="P40" s="315">
        <v>0.13200000000000001</v>
      </c>
      <c r="Q40" s="315">
        <v>0.245</v>
      </c>
      <c r="R40" s="194">
        <v>0.111</v>
      </c>
      <c r="S40" s="35">
        <v>5.8000000000000003E-2</v>
      </c>
      <c r="T40" s="35">
        <v>0.13100000000000001</v>
      </c>
      <c r="U40" s="35">
        <v>0.36899999999999999</v>
      </c>
      <c r="V40" s="317">
        <v>8.6999999999999994E-2</v>
      </c>
      <c r="W40" s="198">
        <f t="shared" si="97"/>
        <v>0.10347632098922813</v>
      </c>
      <c r="X40" s="245">
        <f t="shared" si="79"/>
        <v>7.1999999999999995E-2</v>
      </c>
      <c r="Y40" s="35">
        <f t="shared" si="80"/>
        <v>0.13400000000000001</v>
      </c>
      <c r="Z40" s="35">
        <f t="shared" si="10"/>
        <v>8.4000000000000005E-2</v>
      </c>
      <c r="AA40" s="35">
        <f t="shared" si="11"/>
        <v>6.3E-2</v>
      </c>
      <c r="AB40" s="35">
        <f t="shared" si="12"/>
        <v>2.1000000000000001E-2</v>
      </c>
      <c r="AC40" s="35">
        <f t="shared" si="13"/>
        <v>5.0999999999999997E-2</v>
      </c>
      <c r="AD40" s="35">
        <f t="shared" si="98"/>
        <v>4.1000000000000002E-2</v>
      </c>
      <c r="AE40" s="35">
        <f t="shared" si="99"/>
        <v>4.2999999999999997E-2</v>
      </c>
      <c r="AF40" s="35">
        <f t="shared" si="100"/>
        <v>0.13200000000000001</v>
      </c>
      <c r="AG40" s="35">
        <f t="shared" si="17"/>
        <v>0.245</v>
      </c>
      <c r="AH40" s="194">
        <f t="shared" si="18"/>
        <v>0.111</v>
      </c>
      <c r="AI40" s="238">
        <f t="shared" si="101"/>
        <v>7.8212564384265271E-2</v>
      </c>
      <c r="AJ40" s="245">
        <f t="shared" si="81"/>
        <v>7.1999999999999995E-2</v>
      </c>
      <c r="AK40" s="35">
        <f t="shared" si="82"/>
        <v>0.13400000000000001</v>
      </c>
      <c r="AL40" s="35">
        <f t="shared" si="102"/>
        <v>4.1000000000000002E-2</v>
      </c>
      <c r="AM40" s="35">
        <f t="shared" si="103"/>
        <v>4.2999999999999997E-2</v>
      </c>
      <c r="AN40" s="35">
        <f t="shared" si="104"/>
        <v>0.13200000000000001</v>
      </c>
      <c r="AO40" s="35">
        <f t="shared" si="105"/>
        <v>5.8000000000000003E-2</v>
      </c>
      <c r="AP40" s="195">
        <f t="shared" si="106"/>
        <v>7.3724386328935534E-2</v>
      </c>
      <c r="AQ40" s="254">
        <f t="shared" si="83"/>
        <v>7.1999999999999995E-2</v>
      </c>
      <c r="AR40" s="35">
        <f t="shared" si="84"/>
        <v>0.11799999999999999</v>
      </c>
      <c r="AS40" s="35">
        <f t="shared" si="85"/>
        <v>7.0999999999999994E-2</v>
      </c>
      <c r="AT40" s="35">
        <f t="shared" si="107"/>
        <v>0.14899999999999999</v>
      </c>
      <c r="AU40" s="35">
        <f t="shared" si="108"/>
        <v>5.8000000000000003E-2</v>
      </c>
      <c r="AV40" s="195">
        <f t="shared" ref="AV40:AV60" si="117">((AQ40*$AQ$36)+(AR40*$AR$36)+(AS40*$AS$36)+(AT40*$AT$36)+(AU40*$AU$36))/$AV$36</f>
        <v>8.5209977749150956E-2</v>
      </c>
      <c r="AW40" s="254">
        <f t="shared" si="86"/>
        <v>0.1</v>
      </c>
      <c r="AX40" s="35">
        <f t="shared" si="87"/>
        <v>0.11799999999999999</v>
      </c>
      <c r="AY40" s="35">
        <f t="shared" si="88"/>
        <v>7.0999999999999994E-2</v>
      </c>
      <c r="AZ40" s="238">
        <f t="shared" si="89"/>
        <v>0.14899999999999999</v>
      </c>
      <c r="BA40" s="238">
        <f t="shared" si="109"/>
        <v>0.13100000000000001</v>
      </c>
      <c r="BB40" s="195">
        <f t="shared" ref="BB40:BB60" si="118">((AW40*$AW$36)+(AX40*$AX$36)+(AY40*$AY$36)+(AZ40*$AZ$36)+(BA40*$BA$36))/$BB$36</f>
        <v>0.11133847461743988</v>
      </c>
      <c r="BC40" s="245">
        <f t="shared" si="90"/>
        <v>0.1</v>
      </c>
      <c r="BD40" s="35">
        <f t="shared" si="91"/>
        <v>7.0999999999999994E-2</v>
      </c>
      <c r="BE40" s="238">
        <f t="shared" si="110"/>
        <v>0.13100000000000001</v>
      </c>
      <c r="BF40" s="238">
        <f t="shared" si="111"/>
        <v>0.10339400428265524</v>
      </c>
      <c r="BG40" s="241">
        <f t="shared" si="112"/>
        <v>7.0999999999999994E-2</v>
      </c>
      <c r="BH40" s="194">
        <f t="shared" si="113"/>
        <v>5.0999999999999997E-2</v>
      </c>
      <c r="BI40" s="35">
        <f t="shared" si="114"/>
        <v>0.112</v>
      </c>
      <c r="BJ40" s="238">
        <f t="shared" si="115"/>
        <v>0.13100000000000001</v>
      </c>
      <c r="BK40" s="238">
        <f t="shared" si="41"/>
        <v>0.36899999999999999</v>
      </c>
      <c r="BL40" s="238">
        <f t="shared" si="42"/>
        <v>8.6999999999999994E-2</v>
      </c>
      <c r="BM40" s="195">
        <f t="shared" si="116"/>
        <v>0.19447330818013969</v>
      </c>
      <c r="BN40" s="254">
        <f t="shared" si="92"/>
        <v>0.1</v>
      </c>
      <c r="BO40" s="35">
        <f t="shared" si="93"/>
        <v>0.11799999999999999</v>
      </c>
      <c r="BP40" s="35">
        <f t="shared" si="94"/>
        <v>0.112</v>
      </c>
      <c r="BQ40" s="238">
        <f t="shared" si="95"/>
        <v>0.14899999999999999</v>
      </c>
      <c r="BR40" s="195">
        <f t="shared" si="96"/>
        <v>0.11758893411979728</v>
      </c>
    </row>
    <row r="41" spans="1:70" x14ac:dyDescent="0.25">
      <c r="A41" s="192" t="s">
        <v>35</v>
      </c>
      <c r="B41" s="35">
        <v>7.1999999999999995E-2</v>
      </c>
      <c r="C41" s="35">
        <v>9.2999999999999999E-2</v>
      </c>
      <c r="D41" s="35">
        <v>9.2999999999999999E-2</v>
      </c>
      <c r="E41" s="35">
        <v>0.112</v>
      </c>
      <c r="F41" s="35">
        <v>8.4000000000000005E-2</v>
      </c>
      <c r="G41" s="35">
        <v>5.5E-2</v>
      </c>
      <c r="H41" s="35">
        <v>1.6E-2</v>
      </c>
      <c r="I41" s="35">
        <v>3.2000000000000001E-2</v>
      </c>
      <c r="J41" s="35">
        <v>0.02</v>
      </c>
      <c r="K41" s="35">
        <v>4.1000000000000002E-2</v>
      </c>
      <c r="L41" s="35">
        <v>5.6000000000000001E-2</v>
      </c>
      <c r="M41" s="35">
        <v>3.5999999999999997E-2</v>
      </c>
      <c r="N41" s="35">
        <v>0.111</v>
      </c>
      <c r="O41" s="35">
        <v>0.14899999999999999</v>
      </c>
      <c r="P41" s="315">
        <v>9.4E-2</v>
      </c>
      <c r="Q41" s="315">
        <v>0.14199999999999999</v>
      </c>
      <c r="R41" s="194">
        <v>7.6999999999999999E-2</v>
      </c>
      <c r="S41" s="35">
        <v>0.03</v>
      </c>
      <c r="T41" s="35">
        <v>9.8000000000000004E-2</v>
      </c>
      <c r="U41" s="35">
        <v>0.32500000000000001</v>
      </c>
      <c r="V41" s="317">
        <v>8.6999999999999994E-2</v>
      </c>
      <c r="W41" s="198">
        <f t="shared" si="97"/>
        <v>8.5449423162725482E-2</v>
      </c>
      <c r="X41" s="245">
        <f t="shared" si="79"/>
        <v>7.1999999999999995E-2</v>
      </c>
      <c r="Y41" s="35">
        <f t="shared" si="80"/>
        <v>0.112</v>
      </c>
      <c r="Z41" s="35">
        <f t="shared" si="10"/>
        <v>8.4000000000000005E-2</v>
      </c>
      <c r="AA41" s="35">
        <f t="shared" si="11"/>
        <v>5.5E-2</v>
      </c>
      <c r="AB41" s="35">
        <f t="shared" si="12"/>
        <v>1.6E-2</v>
      </c>
      <c r="AC41" s="35">
        <f t="shared" si="13"/>
        <v>3.2000000000000001E-2</v>
      </c>
      <c r="AD41" s="35">
        <f t="shared" si="98"/>
        <v>0.02</v>
      </c>
      <c r="AE41" s="35">
        <f t="shared" si="99"/>
        <v>4.1000000000000002E-2</v>
      </c>
      <c r="AF41" s="35">
        <f t="shared" si="100"/>
        <v>9.4E-2</v>
      </c>
      <c r="AG41" s="35">
        <f t="shared" si="17"/>
        <v>0.14199999999999999</v>
      </c>
      <c r="AH41" s="194">
        <f t="shared" si="18"/>
        <v>7.6999999999999999E-2</v>
      </c>
      <c r="AI41" s="238">
        <f t="shared" si="101"/>
        <v>5.7753649036197868E-2</v>
      </c>
      <c r="AJ41" s="245">
        <f t="shared" si="81"/>
        <v>7.1999999999999995E-2</v>
      </c>
      <c r="AK41" s="35">
        <f t="shared" si="82"/>
        <v>0.112</v>
      </c>
      <c r="AL41" s="35">
        <f t="shared" si="102"/>
        <v>0.02</v>
      </c>
      <c r="AM41" s="35">
        <f t="shared" si="103"/>
        <v>4.1000000000000002E-2</v>
      </c>
      <c r="AN41" s="35">
        <f t="shared" si="104"/>
        <v>9.4E-2</v>
      </c>
      <c r="AO41" s="35">
        <f t="shared" si="105"/>
        <v>0.03</v>
      </c>
      <c r="AP41" s="195">
        <f t="shared" si="106"/>
        <v>5.6798105156011441E-2</v>
      </c>
      <c r="AQ41" s="254">
        <f t="shared" si="83"/>
        <v>7.1999999999999995E-2</v>
      </c>
      <c r="AR41" s="35">
        <f t="shared" si="84"/>
        <v>9.2999999999999999E-2</v>
      </c>
      <c r="AS41" s="35">
        <f t="shared" si="85"/>
        <v>5.6000000000000001E-2</v>
      </c>
      <c r="AT41" s="35">
        <f t="shared" si="107"/>
        <v>0.14899999999999999</v>
      </c>
      <c r="AU41" s="35">
        <f t="shared" si="108"/>
        <v>0.03</v>
      </c>
      <c r="AV41" s="195">
        <f t="shared" si="117"/>
        <v>6.9093336456259508E-2</v>
      </c>
      <c r="AW41" s="254">
        <f t="shared" si="86"/>
        <v>9.2999999999999999E-2</v>
      </c>
      <c r="AX41" s="35">
        <f t="shared" si="87"/>
        <v>9.2999999999999999E-2</v>
      </c>
      <c r="AY41" s="35">
        <f t="shared" si="88"/>
        <v>5.6000000000000001E-2</v>
      </c>
      <c r="AZ41" s="238">
        <f t="shared" si="89"/>
        <v>0.14899999999999999</v>
      </c>
      <c r="BA41" s="238">
        <f t="shared" si="109"/>
        <v>9.8000000000000004E-2</v>
      </c>
      <c r="BB41" s="195">
        <f t="shared" si="118"/>
        <v>9.2265727471459794E-2</v>
      </c>
      <c r="BC41" s="245">
        <f t="shared" si="90"/>
        <v>9.2999999999999999E-2</v>
      </c>
      <c r="BD41" s="35">
        <f t="shared" si="91"/>
        <v>5.6000000000000001E-2</v>
      </c>
      <c r="BE41" s="238">
        <f t="shared" si="110"/>
        <v>9.8000000000000004E-2</v>
      </c>
      <c r="BF41" s="238">
        <f t="shared" si="111"/>
        <v>8.3217344753747313E-2</v>
      </c>
      <c r="BG41" s="241">
        <f t="shared" si="112"/>
        <v>5.6000000000000001E-2</v>
      </c>
      <c r="BH41" s="194">
        <f t="shared" si="113"/>
        <v>3.5999999999999997E-2</v>
      </c>
      <c r="BI41" s="35">
        <f t="shared" si="114"/>
        <v>0.111</v>
      </c>
      <c r="BJ41" s="238">
        <f t="shared" si="115"/>
        <v>9.8000000000000004E-2</v>
      </c>
      <c r="BK41" s="238">
        <f t="shared" si="41"/>
        <v>0.32500000000000001</v>
      </c>
      <c r="BL41" s="238">
        <f t="shared" si="42"/>
        <v>8.6999999999999994E-2</v>
      </c>
      <c r="BM41" s="195">
        <f t="shared" si="116"/>
        <v>0.17084699365818415</v>
      </c>
      <c r="BN41" s="254">
        <f t="shared" si="92"/>
        <v>9.2999999999999999E-2</v>
      </c>
      <c r="BO41" s="35">
        <f t="shared" si="93"/>
        <v>9.2999999999999999E-2</v>
      </c>
      <c r="BP41" s="35">
        <f t="shared" si="94"/>
        <v>0.111</v>
      </c>
      <c r="BQ41" s="238">
        <f t="shared" si="95"/>
        <v>0.14899999999999999</v>
      </c>
      <c r="BR41" s="195">
        <f t="shared" si="96"/>
        <v>0.10895962449115228</v>
      </c>
    </row>
    <row r="42" spans="1:70" x14ac:dyDescent="0.25">
      <c r="A42" s="192" t="s">
        <v>36</v>
      </c>
      <c r="B42" s="35">
        <v>0</v>
      </c>
      <c r="C42" s="35">
        <v>0</v>
      </c>
      <c r="D42" s="35">
        <v>2.5000000000000001E-2</v>
      </c>
      <c r="E42" s="35">
        <v>2.1999999999999999E-2</v>
      </c>
      <c r="F42" s="35">
        <v>0</v>
      </c>
      <c r="G42" s="35">
        <v>5.0000000000000001E-3</v>
      </c>
      <c r="H42" s="35">
        <v>5.0000000000000001E-3</v>
      </c>
      <c r="I42" s="35">
        <v>1.0999999999999999E-2</v>
      </c>
      <c r="J42" s="35">
        <v>2.1000000000000001E-2</v>
      </c>
      <c r="K42" s="35">
        <v>0</v>
      </c>
      <c r="L42" s="35">
        <v>1.4999999999999999E-2</v>
      </c>
      <c r="M42" s="35">
        <v>0</v>
      </c>
      <c r="N42" s="35">
        <v>0</v>
      </c>
      <c r="O42" s="35">
        <v>0</v>
      </c>
      <c r="P42" s="315">
        <v>3.9E-2</v>
      </c>
      <c r="Q42" s="315">
        <v>7.9000000000000001E-2</v>
      </c>
      <c r="R42" s="194">
        <v>3.5000000000000003E-2</v>
      </c>
      <c r="S42" s="35">
        <v>8.0000000000000002E-3</v>
      </c>
      <c r="T42" s="35">
        <v>2.3E-2</v>
      </c>
      <c r="U42" s="35">
        <v>8.9999999999999993E-3</v>
      </c>
      <c r="V42" s="317">
        <v>0</v>
      </c>
      <c r="W42" s="198">
        <f t="shared" si="97"/>
        <v>1.1788896679201988E-2</v>
      </c>
      <c r="X42" s="245">
        <f t="shared" si="79"/>
        <v>0</v>
      </c>
      <c r="Y42" s="35">
        <f t="shared" si="80"/>
        <v>2.1999999999999999E-2</v>
      </c>
      <c r="Z42" s="35">
        <f t="shared" si="10"/>
        <v>0</v>
      </c>
      <c r="AA42" s="35">
        <f t="shared" si="11"/>
        <v>5.0000000000000001E-3</v>
      </c>
      <c r="AB42" s="35">
        <f t="shared" si="12"/>
        <v>5.0000000000000001E-3</v>
      </c>
      <c r="AC42" s="35">
        <f t="shared" si="13"/>
        <v>1.0999999999999999E-2</v>
      </c>
      <c r="AD42" s="35">
        <f t="shared" si="98"/>
        <v>2.1000000000000001E-2</v>
      </c>
      <c r="AE42" s="35">
        <f t="shared" si="99"/>
        <v>0</v>
      </c>
      <c r="AF42" s="35">
        <f t="shared" si="100"/>
        <v>3.9E-2</v>
      </c>
      <c r="AG42" s="35">
        <f t="shared" si="17"/>
        <v>7.9000000000000001E-2</v>
      </c>
      <c r="AH42" s="194">
        <f t="shared" si="18"/>
        <v>3.5000000000000003E-2</v>
      </c>
      <c r="AI42" s="238">
        <f t="shared" si="101"/>
        <v>1.722002653844508E-2</v>
      </c>
      <c r="AJ42" s="245">
        <f t="shared" si="81"/>
        <v>0</v>
      </c>
      <c r="AK42" s="35">
        <f t="shared" si="82"/>
        <v>2.1999999999999999E-2</v>
      </c>
      <c r="AL42" s="35">
        <f t="shared" si="102"/>
        <v>2.1000000000000001E-2</v>
      </c>
      <c r="AM42" s="35">
        <f t="shared" si="103"/>
        <v>0</v>
      </c>
      <c r="AN42" s="35">
        <f t="shared" si="104"/>
        <v>3.9E-2</v>
      </c>
      <c r="AO42" s="35">
        <f t="shared" si="105"/>
        <v>8.0000000000000002E-3</v>
      </c>
      <c r="AP42" s="195">
        <f t="shared" si="106"/>
        <v>1.2807344477939162E-2</v>
      </c>
      <c r="AQ42" s="254">
        <f t="shared" si="83"/>
        <v>0</v>
      </c>
      <c r="AR42" s="35">
        <f t="shared" si="84"/>
        <v>2.5000000000000001E-2</v>
      </c>
      <c r="AS42" s="35">
        <f t="shared" si="85"/>
        <v>1.4999999999999999E-2</v>
      </c>
      <c r="AT42" s="35">
        <f t="shared" si="107"/>
        <v>0</v>
      </c>
      <c r="AU42" s="35">
        <f t="shared" si="108"/>
        <v>8.0000000000000002E-3</v>
      </c>
      <c r="AV42" s="195">
        <f t="shared" si="117"/>
        <v>1.0530507085138772E-2</v>
      </c>
      <c r="AW42" s="254">
        <f t="shared" si="86"/>
        <v>0</v>
      </c>
      <c r="AX42" s="35">
        <f t="shared" si="87"/>
        <v>2.5000000000000001E-2</v>
      </c>
      <c r="AY42" s="35">
        <f t="shared" si="88"/>
        <v>1.4999999999999999E-2</v>
      </c>
      <c r="AZ42" s="238">
        <f t="shared" si="89"/>
        <v>0</v>
      </c>
      <c r="BA42" s="238">
        <f t="shared" si="109"/>
        <v>2.3E-2</v>
      </c>
      <c r="BB42" s="195">
        <f>((AW42*$AW$36)+(AX42*$AX$36)+(AY42*$AY$36)+(AZ42*$AZ$36)+(BA42*$BA$36))/$BB$36</f>
        <v>1.4997206703910615E-2</v>
      </c>
      <c r="BC42" s="245">
        <f t="shared" si="90"/>
        <v>0</v>
      </c>
      <c r="BD42" s="35">
        <f t="shared" si="91"/>
        <v>1.4999999999999999E-2</v>
      </c>
      <c r="BE42" s="238">
        <f t="shared" si="110"/>
        <v>2.3E-2</v>
      </c>
      <c r="BF42" s="238">
        <f t="shared" si="111"/>
        <v>1.4188436830835116E-2</v>
      </c>
      <c r="BG42" s="241">
        <f t="shared" si="112"/>
        <v>1.4999999999999999E-2</v>
      </c>
      <c r="BH42" s="194">
        <f t="shared" si="113"/>
        <v>0</v>
      </c>
      <c r="BI42" s="35">
        <f t="shared" si="114"/>
        <v>0</v>
      </c>
      <c r="BJ42" s="238">
        <f t="shared" si="115"/>
        <v>2.3E-2</v>
      </c>
      <c r="BK42" s="238">
        <f t="shared" si="41"/>
        <v>8.9999999999999993E-3</v>
      </c>
      <c r="BL42" s="238">
        <f t="shared" si="42"/>
        <v>0</v>
      </c>
      <c r="BM42" s="195">
        <f t="shared" si="116"/>
        <v>7.583045677129324E-3</v>
      </c>
      <c r="BN42" s="254">
        <f t="shared" si="92"/>
        <v>0</v>
      </c>
      <c r="BO42" s="35">
        <f t="shared" si="93"/>
        <v>2.5000000000000001E-2</v>
      </c>
      <c r="BP42" s="35">
        <f t="shared" si="94"/>
        <v>0</v>
      </c>
      <c r="BQ42" s="238">
        <f t="shared" si="95"/>
        <v>0</v>
      </c>
      <c r="BR42" s="195">
        <f t="shared" si="96"/>
        <v>7.306637866578051E-3</v>
      </c>
    </row>
    <row r="43" spans="1:70" x14ac:dyDescent="0.25">
      <c r="A43" s="192" t="s">
        <v>427</v>
      </c>
      <c r="B43" s="35">
        <v>0</v>
      </c>
      <c r="C43" s="35">
        <v>8.0000000000000002E-3</v>
      </c>
      <c r="D43" s="35">
        <v>0</v>
      </c>
      <c r="E43" s="35">
        <v>0</v>
      </c>
      <c r="F43" s="35">
        <v>0</v>
      </c>
      <c r="G43" s="35">
        <v>3.0000000000000001E-3</v>
      </c>
      <c r="H43" s="35">
        <v>0</v>
      </c>
      <c r="I43" s="35">
        <v>8.0000000000000002E-3</v>
      </c>
      <c r="J43" s="35">
        <v>0</v>
      </c>
      <c r="K43" s="35">
        <v>3.0000000000000001E-3</v>
      </c>
      <c r="L43" s="35">
        <v>0</v>
      </c>
      <c r="M43" s="35">
        <v>1.4999999999999999E-2</v>
      </c>
      <c r="N43" s="35">
        <v>1E-3</v>
      </c>
      <c r="O43" s="35">
        <v>0</v>
      </c>
      <c r="P43" s="315">
        <v>0</v>
      </c>
      <c r="Q43" s="315">
        <v>2.4E-2</v>
      </c>
      <c r="R43" s="194">
        <v>0</v>
      </c>
      <c r="S43" s="35">
        <v>0.02</v>
      </c>
      <c r="T43" s="35">
        <v>0.01</v>
      </c>
      <c r="U43" s="35">
        <v>3.5000000000000003E-2</v>
      </c>
      <c r="V43" s="317">
        <v>0</v>
      </c>
      <c r="W43" s="198">
        <f t="shared" si="97"/>
        <v>6.3755497482312455E-3</v>
      </c>
      <c r="X43" s="245">
        <f t="shared" si="79"/>
        <v>0</v>
      </c>
      <c r="Y43" s="35">
        <f t="shared" si="80"/>
        <v>0</v>
      </c>
      <c r="Z43" s="35">
        <f t="shared" si="10"/>
        <v>0</v>
      </c>
      <c r="AA43" s="35">
        <f t="shared" si="11"/>
        <v>3.0000000000000001E-3</v>
      </c>
      <c r="AB43" s="35">
        <f t="shared" si="12"/>
        <v>0</v>
      </c>
      <c r="AC43" s="35">
        <f t="shared" si="13"/>
        <v>8.0000000000000002E-3</v>
      </c>
      <c r="AD43" s="35">
        <f t="shared" si="98"/>
        <v>0</v>
      </c>
      <c r="AE43" s="35">
        <f t="shared" si="99"/>
        <v>3.0000000000000001E-3</v>
      </c>
      <c r="AF43" s="35">
        <f t="shared" si="100"/>
        <v>0</v>
      </c>
      <c r="AG43" s="35">
        <f t="shared" si="17"/>
        <v>2.4E-2</v>
      </c>
      <c r="AH43" s="194">
        <f t="shared" si="18"/>
        <v>0</v>
      </c>
      <c r="AI43" s="238">
        <f t="shared" si="101"/>
        <v>3.4909184299513471E-3</v>
      </c>
      <c r="AJ43" s="245">
        <f t="shared" si="81"/>
        <v>0</v>
      </c>
      <c r="AK43" s="35">
        <f t="shared" si="82"/>
        <v>0</v>
      </c>
      <c r="AL43" s="35">
        <f t="shared" si="102"/>
        <v>0</v>
      </c>
      <c r="AM43" s="35">
        <f t="shared" si="103"/>
        <v>3.0000000000000001E-3</v>
      </c>
      <c r="AN43" s="35">
        <f t="shared" si="104"/>
        <v>0</v>
      </c>
      <c r="AO43" s="35">
        <f t="shared" si="105"/>
        <v>0.02</v>
      </c>
      <c r="AP43" s="195">
        <f t="shared" si="106"/>
        <v>4.5065184199193529E-3</v>
      </c>
      <c r="AQ43" s="254">
        <f t="shared" si="83"/>
        <v>0</v>
      </c>
      <c r="AR43" s="35">
        <f t="shared" si="84"/>
        <v>0</v>
      </c>
      <c r="AS43" s="35">
        <f t="shared" si="85"/>
        <v>0</v>
      </c>
      <c r="AT43" s="35">
        <f t="shared" si="107"/>
        <v>0</v>
      </c>
      <c r="AU43" s="35">
        <f t="shared" si="108"/>
        <v>0.02</v>
      </c>
      <c r="AV43" s="195">
        <f t="shared" si="117"/>
        <v>5.5861342077526644E-3</v>
      </c>
      <c r="AW43" s="254">
        <f t="shared" si="86"/>
        <v>8.0000000000000002E-3</v>
      </c>
      <c r="AX43" s="35">
        <f t="shared" si="87"/>
        <v>0</v>
      </c>
      <c r="AY43" s="35">
        <f t="shared" si="88"/>
        <v>0</v>
      </c>
      <c r="AZ43" s="238">
        <f t="shared" si="89"/>
        <v>0</v>
      </c>
      <c r="BA43" s="238">
        <f t="shared" si="109"/>
        <v>0.01</v>
      </c>
      <c r="BB43" s="195">
        <f t="shared" si="118"/>
        <v>4.260626669905271E-3</v>
      </c>
      <c r="BC43" s="245">
        <f t="shared" si="90"/>
        <v>8.0000000000000002E-3</v>
      </c>
      <c r="BD43" s="35">
        <f t="shared" si="91"/>
        <v>0</v>
      </c>
      <c r="BE43" s="238">
        <f t="shared" si="110"/>
        <v>0.01</v>
      </c>
      <c r="BF43" s="238">
        <f t="shared" si="111"/>
        <v>6.2601713062098493E-3</v>
      </c>
      <c r="BG43" s="241">
        <f t="shared" si="112"/>
        <v>0</v>
      </c>
      <c r="BH43" s="194">
        <f t="shared" si="113"/>
        <v>1.4999999999999999E-2</v>
      </c>
      <c r="BI43" s="35">
        <f t="shared" si="114"/>
        <v>1E-3</v>
      </c>
      <c r="BJ43" s="238">
        <f t="shared" si="115"/>
        <v>0.01</v>
      </c>
      <c r="BK43" s="238">
        <f t="shared" si="41"/>
        <v>3.5000000000000003E-2</v>
      </c>
      <c r="BL43" s="238">
        <f t="shared" si="42"/>
        <v>0</v>
      </c>
      <c r="BM43" s="195">
        <f t="shared" si="116"/>
        <v>1.6043268844826201E-2</v>
      </c>
      <c r="BN43" s="254">
        <f t="shared" si="92"/>
        <v>8.0000000000000002E-3</v>
      </c>
      <c r="BO43" s="35">
        <f t="shared" si="93"/>
        <v>0</v>
      </c>
      <c r="BP43" s="35">
        <f t="shared" si="94"/>
        <v>1E-3</v>
      </c>
      <c r="BQ43" s="238">
        <f t="shared" si="95"/>
        <v>0</v>
      </c>
      <c r="BR43" s="195">
        <f t="shared" si="96"/>
        <v>1.4492813824042538E-3</v>
      </c>
    </row>
    <row r="44" spans="1:70" x14ac:dyDescent="0.25">
      <c r="A44" s="192" t="s">
        <v>428</v>
      </c>
      <c r="B44" s="200">
        <v>1.06</v>
      </c>
      <c r="C44" s="200">
        <v>1.08</v>
      </c>
      <c r="D44" s="200">
        <v>1.1000000000000001</v>
      </c>
      <c r="E44" s="200">
        <v>1.1000000000000001</v>
      </c>
      <c r="F44" s="200">
        <v>1.05</v>
      </c>
      <c r="G44" s="200">
        <v>1.04</v>
      </c>
      <c r="H44" s="200">
        <v>1.02</v>
      </c>
      <c r="I44" s="200">
        <v>1.04</v>
      </c>
      <c r="J44" s="200">
        <v>1.08</v>
      </c>
      <c r="K44" s="200">
        <v>1.04</v>
      </c>
      <c r="L44" s="200">
        <v>1.05</v>
      </c>
      <c r="M44" s="200">
        <v>1.04</v>
      </c>
      <c r="N44" s="200">
        <v>1.07</v>
      </c>
      <c r="O44" s="200">
        <v>1.1200000000000001</v>
      </c>
      <c r="P44" s="314">
        <v>1.1000000000000001</v>
      </c>
      <c r="Q44" s="314">
        <v>1.18</v>
      </c>
      <c r="R44" s="207">
        <v>1.07</v>
      </c>
      <c r="S44" s="200">
        <v>1.06</v>
      </c>
      <c r="T44" s="200">
        <v>1.0900000000000001</v>
      </c>
      <c r="U44" s="200">
        <v>1.29</v>
      </c>
      <c r="V44" s="316">
        <v>1.05</v>
      </c>
      <c r="W44" s="201">
        <f t="shared" si="97"/>
        <v>1.0396768436484163</v>
      </c>
      <c r="X44" s="246">
        <f t="shared" si="79"/>
        <v>1.06</v>
      </c>
      <c r="Y44" s="5">
        <f t="shared" si="80"/>
        <v>1.1000000000000001</v>
      </c>
      <c r="Z44" s="200">
        <f t="shared" si="10"/>
        <v>1.05</v>
      </c>
      <c r="AA44" s="200">
        <f t="shared" si="11"/>
        <v>1.04</v>
      </c>
      <c r="AB44" s="200">
        <f t="shared" si="12"/>
        <v>1.02</v>
      </c>
      <c r="AC44" s="200">
        <f t="shared" si="13"/>
        <v>1.04</v>
      </c>
      <c r="AD44" s="200">
        <f t="shared" si="98"/>
        <v>1.08</v>
      </c>
      <c r="AE44" s="5">
        <f t="shared" si="99"/>
        <v>1.04</v>
      </c>
      <c r="AF44" s="5">
        <f t="shared" si="100"/>
        <v>1.1000000000000001</v>
      </c>
      <c r="AG44" s="5">
        <f t="shared" si="17"/>
        <v>1.18</v>
      </c>
      <c r="AH44" s="207">
        <f t="shared" si="18"/>
        <v>1.07</v>
      </c>
      <c r="AI44" s="250">
        <f t="shared" si="101"/>
        <v>1.0599315136901282</v>
      </c>
      <c r="AJ44" s="246">
        <f t="shared" si="81"/>
        <v>1.06</v>
      </c>
      <c r="AK44" s="5">
        <f t="shared" si="82"/>
        <v>1.1000000000000001</v>
      </c>
      <c r="AL44" s="5">
        <f t="shared" si="102"/>
        <v>1.08</v>
      </c>
      <c r="AM44" s="5">
        <f t="shared" si="103"/>
        <v>1.04</v>
      </c>
      <c r="AN44" s="5">
        <f t="shared" si="104"/>
        <v>1.1000000000000001</v>
      </c>
      <c r="AO44" s="5">
        <f t="shared" si="105"/>
        <v>1.06</v>
      </c>
      <c r="AP44" s="202">
        <f t="shared" si="106"/>
        <v>1.06865834083702</v>
      </c>
      <c r="AQ44" s="255">
        <f t="shared" si="83"/>
        <v>1.06</v>
      </c>
      <c r="AR44" s="5">
        <f t="shared" si="84"/>
        <v>1.1000000000000001</v>
      </c>
      <c r="AS44" s="5">
        <f t="shared" si="85"/>
        <v>1.05</v>
      </c>
      <c r="AT44" s="5">
        <f t="shared" si="107"/>
        <v>1.1200000000000001</v>
      </c>
      <c r="AU44" s="5">
        <f t="shared" si="108"/>
        <v>1.06</v>
      </c>
      <c r="AV44" s="202">
        <f t="shared" si="117"/>
        <v>1.0722625600187374</v>
      </c>
      <c r="AW44" s="255">
        <f t="shared" si="86"/>
        <v>1.08</v>
      </c>
      <c r="AX44" s="5">
        <f t="shared" si="87"/>
        <v>1.1000000000000001</v>
      </c>
      <c r="AY44" s="89">
        <f t="shared" si="88"/>
        <v>1.05</v>
      </c>
      <c r="AZ44" s="248">
        <f t="shared" si="89"/>
        <v>1.1200000000000001</v>
      </c>
      <c r="BA44" s="248">
        <f t="shared" si="109"/>
        <v>1.0900000000000001</v>
      </c>
      <c r="BB44" s="202">
        <f t="shared" si="118"/>
        <v>1.0847583191644401</v>
      </c>
      <c r="BC44" s="246">
        <f t="shared" si="90"/>
        <v>1.08</v>
      </c>
      <c r="BD44" s="89">
        <f t="shared" si="91"/>
        <v>1.05</v>
      </c>
      <c r="BE44" s="248">
        <f t="shared" si="110"/>
        <v>1.0900000000000001</v>
      </c>
      <c r="BF44" s="250">
        <f t="shared" si="111"/>
        <v>1.0744967880085654</v>
      </c>
      <c r="BG44" s="260">
        <f t="shared" si="112"/>
        <v>1.05</v>
      </c>
      <c r="BH44" s="207">
        <f t="shared" si="113"/>
        <v>1.04</v>
      </c>
      <c r="BI44" s="89">
        <f t="shared" si="114"/>
        <v>1.07</v>
      </c>
      <c r="BJ44" s="248">
        <f t="shared" si="115"/>
        <v>1.0900000000000001</v>
      </c>
      <c r="BK44" s="248">
        <f t="shared" si="41"/>
        <v>1.29</v>
      </c>
      <c r="BL44" s="248">
        <f t="shared" si="42"/>
        <v>1.05</v>
      </c>
      <c r="BM44" s="202">
        <f t="shared" si="116"/>
        <v>1.1452942120895881</v>
      </c>
      <c r="BN44" s="255">
        <f t="shared" si="92"/>
        <v>1.08</v>
      </c>
      <c r="BO44" s="5">
        <f t="shared" si="93"/>
        <v>1.1000000000000001</v>
      </c>
      <c r="BP44" s="89">
        <f t="shared" si="94"/>
        <v>1.07</v>
      </c>
      <c r="BQ44" s="248">
        <f t="shared" si="95"/>
        <v>1.1200000000000001</v>
      </c>
      <c r="BR44" s="202">
        <f t="shared" si="96"/>
        <v>1.0872700839079505</v>
      </c>
    </row>
    <row r="45" spans="1:70" x14ac:dyDescent="0.25">
      <c r="A45" s="192" t="s">
        <v>429</v>
      </c>
      <c r="B45" s="35">
        <v>3.3000000000000002E-2</v>
      </c>
      <c r="C45" s="35">
        <v>6.0999999999999999E-2</v>
      </c>
      <c r="D45" s="35">
        <v>7.0000000000000007E-2</v>
      </c>
      <c r="E45" s="35">
        <v>6.3E-2</v>
      </c>
      <c r="F45" s="35">
        <v>5.6000000000000001E-2</v>
      </c>
      <c r="G45" s="35">
        <v>0</v>
      </c>
      <c r="H45" s="35">
        <v>0</v>
      </c>
      <c r="I45" s="35">
        <v>0</v>
      </c>
      <c r="J45" s="35">
        <v>4.9000000000000002E-2</v>
      </c>
      <c r="K45" s="35">
        <v>1.9E-2</v>
      </c>
      <c r="L45" s="35">
        <v>2.7E-2</v>
      </c>
      <c r="M45" s="35">
        <v>5.3999999999999999E-2</v>
      </c>
      <c r="N45" s="35">
        <v>2.5000000000000001E-2</v>
      </c>
      <c r="O45" s="35">
        <v>3.7999999999999999E-2</v>
      </c>
      <c r="P45" s="315">
        <v>0.105</v>
      </c>
      <c r="Q45" s="315">
        <v>2.9000000000000001E-2</v>
      </c>
      <c r="R45" s="194">
        <v>5.1999999999999998E-2</v>
      </c>
      <c r="S45" s="35">
        <v>4.0000000000000001E-3</v>
      </c>
      <c r="T45" s="35">
        <v>6.6000000000000003E-2</v>
      </c>
      <c r="U45" s="35">
        <v>7.1999999999999995E-2</v>
      </c>
      <c r="V45" s="317">
        <v>2.5999999999999999E-2</v>
      </c>
      <c r="W45" s="198">
        <f t="shared" si="97"/>
        <v>3.5900312320734276E-2</v>
      </c>
      <c r="X45" s="245">
        <f t="shared" si="79"/>
        <v>3.3000000000000002E-2</v>
      </c>
      <c r="Y45" s="35">
        <f t="shared" si="80"/>
        <v>6.3E-2</v>
      </c>
      <c r="Z45" s="35">
        <f t="shared" si="10"/>
        <v>5.6000000000000001E-2</v>
      </c>
      <c r="AA45" s="35">
        <f t="shared" si="11"/>
        <v>0</v>
      </c>
      <c r="AB45" s="35">
        <f t="shared" si="12"/>
        <v>0</v>
      </c>
      <c r="AC45" s="35">
        <f t="shared" si="13"/>
        <v>0</v>
      </c>
      <c r="AD45" s="35">
        <f t="shared" si="98"/>
        <v>4.9000000000000002E-2</v>
      </c>
      <c r="AE45" s="35">
        <f t="shared" si="99"/>
        <v>1.9E-2</v>
      </c>
      <c r="AF45" s="35">
        <f t="shared" si="100"/>
        <v>0.105</v>
      </c>
      <c r="AG45" s="35">
        <f t="shared" si="17"/>
        <v>2.9000000000000001E-2</v>
      </c>
      <c r="AH45" s="194">
        <f t="shared" si="18"/>
        <v>5.1999999999999998E-2</v>
      </c>
      <c r="AI45" s="238">
        <f t="shared" si="101"/>
        <v>2.5162683521908487E-2</v>
      </c>
      <c r="AJ45" s="245">
        <f t="shared" si="81"/>
        <v>3.3000000000000002E-2</v>
      </c>
      <c r="AK45" s="35">
        <f t="shared" si="82"/>
        <v>6.3E-2</v>
      </c>
      <c r="AL45" s="35">
        <f t="shared" si="102"/>
        <v>4.9000000000000002E-2</v>
      </c>
      <c r="AM45" s="35">
        <f t="shared" si="103"/>
        <v>1.9E-2</v>
      </c>
      <c r="AN45" s="35">
        <f t="shared" si="104"/>
        <v>0.105</v>
      </c>
      <c r="AO45" s="35">
        <f t="shared" si="105"/>
        <v>4.0000000000000001E-3</v>
      </c>
      <c r="AP45" s="195">
        <f t="shared" si="106"/>
        <v>3.99614375758525E-2</v>
      </c>
      <c r="AQ45" s="254">
        <f t="shared" si="83"/>
        <v>3.3000000000000002E-2</v>
      </c>
      <c r="AR45" s="35">
        <f t="shared" si="84"/>
        <v>7.0000000000000007E-2</v>
      </c>
      <c r="AS45" s="35">
        <f t="shared" si="85"/>
        <v>2.7E-2</v>
      </c>
      <c r="AT45" s="35">
        <f t="shared" si="107"/>
        <v>3.7999999999999999E-2</v>
      </c>
      <c r="AU45" s="35">
        <f t="shared" si="108"/>
        <v>4.0000000000000001E-3</v>
      </c>
      <c r="AV45" s="195">
        <f t="shared" si="117"/>
        <v>3.1773509778662605E-2</v>
      </c>
      <c r="AW45" s="254">
        <f t="shared" si="86"/>
        <v>6.0999999999999999E-2</v>
      </c>
      <c r="AX45" s="35">
        <f t="shared" si="87"/>
        <v>7.0000000000000007E-2</v>
      </c>
      <c r="AY45" s="35">
        <f t="shared" si="88"/>
        <v>2.7E-2</v>
      </c>
      <c r="AZ45" s="238">
        <f t="shared" si="89"/>
        <v>3.7999999999999999E-2</v>
      </c>
      <c r="BA45" s="238">
        <f t="shared" si="109"/>
        <v>6.6000000000000003E-2</v>
      </c>
      <c r="BB45" s="195">
        <f t="shared" si="118"/>
        <v>5.448421180471217E-2</v>
      </c>
      <c r="BC45" s="245">
        <f t="shared" si="90"/>
        <v>6.0999999999999999E-2</v>
      </c>
      <c r="BD45" s="35">
        <f t="shared" si="91"/>
        <v>2.7E-2</v>
      </c>
      <c r="BE45" s="238">
        <f t="shared" si="110"/>
        <v>6.6000000000000003E-2</v>
      </c>
      <c r="BF45" s="238">
        <f t="shared" si="111"/>
        <v>5.2176124197002141E-2</v>
      </c>
      <c r="BG45" s="241">
        <f t="shared" si="112"/>
        <v>2.7E-2</v>
      </c>
      <c r="BH45" s="194">
        <f t="shared" si="113"/>
        <v>5.3999999999999999E-2</v>
      </c>
      <c r="BI45" s="35">
        <f t="shared" si="114"/>
        <v>2.5000000000000001E-2</v>
      </c>
      <c r="BJ45" s="238">
        <f t="shared" si="115"/>
        <v>6.6000000000000003E-2</v>
      </c>
      <c r="BK45" s="238">
        <f t="shared" si="41"/>
        <v>7.1999999999999995E-2</v>
      </c>
      <c r="BL45" s="238">
        <f t="shared" si="42"/>
        <v>2.5999999999999999E-2</v>
      </c>
      <c r="BM45" s="195">
        <f t="shared" si="116"/>
        <v>5.1105161756442155E-2</v>
      </c>
      <c r="BN45" s="254">
        <f t="shared" si="92"/>
        <v>6.0999999999999999E-2</v>
      </c>
      <c r="BO45" s="35">
        <f t="shared" si="93"/>
        <v>7.0000000000000007E-2</v>
      </c>
      <c r="BP45" s="35">
        <f t="shared" si="94"/>
        <v>2.5000000000000001E-2</v>
      </c>
      <c r="BQ45" s="238">
        <f t="shared" si="95"/>
        <v>3.7999999999999999E-2</v>
      </c>
      <c r="BR45" s="195">
        <f t="shared" si="96"/>
        <v>4.4591260280800869E-2</v>
      </c>
    </row>
    <row r="46" spans="1:70" x14ac:dyDescent="0.25">
      <c r="A46" s="192" t="s">
        <v>41</v>
      </c>
      <c r="B46" s="35">
        <v>0.24199999999999999</v>
      </c>
      <c r="C46" s="35">
        <v>0.13300000000000001</v>
      </c>
      <c r="D46" s="35">
        <v>0.14699999999999999</v>
      </c>
      <c r="E46" s="35">
        <v>6.9000000000000006E-2</v>
      </c>
      <c r="F46" s="35">
        <v>3.9E-2</v>
      </c>
      <c r="G46" s="35">
        <v>8.3000000000000004E-2</v>
      </c>
      <c r="H46" s="35">
        <v>3.1E-2</v>
      </c>
      <c r="I46" s="35">
        <v>0.155</v>
      </c>
      <c r="J46" s="35">
        <v>0.52</v>
      </c>
      <c r="K46" s="35">
        <v>0.36799999999999999</v>
      </c>
      <c r="L46" s="35">
        <v>0.13700000000000001</v>
      </c>
      <c r="M46" s="35">
        <v>8.2000000000000003E-2</v>
      </c>
      <c r="N46" s="35">
        <v>1.2999999999999999E-2</v>
      </c>
      <c r="O46" s="35">
        <v>0.124</v>
      </c>
      <c r="P46" s="315">
        <v>8.0000000000000002E-3</v>
      </c>
      <c r="Q46" s="315">
        <v>3.5999999999999997E-2</v>
      </c>
      <c r="R46" s="194">
        <v>8.0000000000000002E-3</v>
      </c>
      <c r="S46" s="35">
        <v>0.28299999999999997</v>
      </c>
      <c r="T46" s="35">
        <v>1.4E-2</v>
      </c>
      <c r="U46" s="35">
        <v>3.5000000000000003E-2</v>
      </c>
      <c r="V46" s="317">
        <v>8.9999999999999993E-3</v>
      </c>
      <c r="W46" s="198">
        <f t="shared" si="97"/>
        <v>0.12540515647906175</v>
      </c>
      <c r="X46" s="245">
        <f t="shared" si="79"/>
        <v>0.24199999999999999</v>
      </c>
      <c r="Y46" s="35">
        <f t="shared" si="80"/>
        <v>6.9000000000000006E-2</v>
      </c>
      <c r="Z46" s="35">
        <f t="shared" si="10"/>
        <v>3.9E-2</v>
      </c>
      <c r="AA46" s="35">
        <f t="shared" si="11"/>
        <v>8.3000000000000004E-2</v>
      </c>
      <c r="AB46" s="35">
        <f t="shared" si="12"/>
        <v>3.1E-2</v>
      </c>
      <c r="AC46" s="35">
        <f t="shared" si="13"/>
        <v>0.155</v>
      </c>
      <c r="AD46" s="35">
        <f t="shared" si="98"/>
        <v>0.52</v>
      </c>
      <c r="AE46" s="35">
        <f t="shared" si="99"/>
        <v>0.36799999999999999</v>
      </c>
      <c r="AF46" s="35">
        <f t="shared" si="100"/>
        <v>8.0000000000000002E-3</v>
      </c>
      <c r="AG46" s="35">
        <f t="shared" si="17"/>
        <v>3.5999999999999997E-2</v>
      </c>
      <c r="AH46" s="194">
        <f t="shared" si="18"/>
        <v>8.0000000000000002E-3</v>
      </c>
      <c r="AI46" s="238">
        <f t="shared" si="101"/>
        <v>0.12001924750667031</v>
      </c>
      <c r="AJ46" s="245">
        <f t="shared" si="81"/>
        <v>0.24199999999999999</v>
      </c>
      <c r="AK46" s="35">
        <f t="shared" si="82"/>
        <v>6.9000000000000006E-2</v>
      </c>
      <c r="AL46" s="35">
        <f t="shared" si="102"/>
        <v>0.52</v>
      </c>
      <c r="AM46" s="35">
        <f t="shared" si="103"/>
        <v>0.36799999999999999</v>
      </c>
      <c r="AN46" s="35">
        <f t="shared" si="104"/>
        <v>8.0000000000000002E-3</v>
      </c>
      <c r="AO46" s="35">
        <f t="shared" si="105"/>
        <v>0.28299999999999997</v>
      </c>
      <c r="AP46" s="195">
        <f t="shared" si="106"/>
        <v>0.26929926007125243</v>
      </c>
      <c r="AQ46" s="254">
        <f t="shared" si="83"/>
        <v>0.24199999999999999</v>
      </c>
      <c r="AR46" s="35">
        <f t="shared" si="84"/>
        <v>0.14699999999999999</v>
      </c>
      <c r="AS46" s="35">
        <f t="shared" si="85"/>
        <v>0.13700000000000001</v>
      </c>
      <c r="AT46" s="35">
        <f t="shared" si="107"/>
        <v>0.124</v>
      </c>
      <c r="AU46" s="35">
        <f t="shared" si="108"/>
        <v>0.28299999999999997</v>
      </c>
      <c r="AV46" s="195">
        <f t="shared" si="117"/>
        <v>0.19982257875629464</v>
      </c>
      <c r="AW46" s="254">
        <f t="shared" si="86"/>
        <v>0.13300000000000001</v>
      </c>
      <c r="AX46" s="35">
        <f t="shared" si="87"/>
        <v>0.14699999999999999</v>
      </c>
      <c r="AY46" s="35">
        <f t="shared" si="88"/>
        <v>0.13700000000000001</v>
      </c>
      <c r="AZ46" s="238">
        <f t="shared" si="89"/>
        <v>0.124</v>
      </c>
      <c r="BA46" s="238">
        <f t="shared" si="109"/>
        <v>1.4E-2</v>
      </c>
      <c r="BB46" s="195">
        <f t="shared" si="118"/>
        <v>0.10282754432839446</v>
      </c>
      <c r="BC46" s="245">
        <f t="shared" si="90"/>
        <v>0.13300000000000001</v>
      </c>
      <c r="BD46" s="35">
        <f t="shared" si="91"/>
        <v>0.13700000000000001</v>
      </c>
      <c r="BE46" s="238">
        <f t="shared" si="110"/>
        <v>1.4E-2</v>
      </c>
      <c r="BF46" s="238">
        <f t="shared" si="111"/>
        <v>8.5671841541755889E-2</v>
      </c>
      <c r="BG46" s="241">
        <f t="shared" si="112"/>
        <v>0.13700000000000001</v>
      </c>
      <c r="BH46" s="194">
        <f t="shared" si="113"/>
        <v>8.2000000000000003E-2</v>
      </c>
      <c r="BI46" s="35">
        <f t="shared" si="114"/>
        <v>1.2999999999999999E-2</v>
      </c>
      <c r="BJ46" s="238">
        <f t="shared" si="115"/>
        <v>1.4E-2</v>
      </c>
      <c r="BK46" s="238">
        <f t="shared" si="41"/>
        <v>3.5000000000000003E-2</v>
      </c>
      <c r="BL46" s="238">
        <f t="shared" si="42"/>
        <v>8.9999999999999993E-3</v>
      </c>
      <c r="BM46" s="195">
        <f t="shared" si="116"/>
        <v>4.0507425543870913E-2</v>
      </c>
      <c r="BN46" s="254">
        <f t="shared" si="92"/>
        <v>0.13300000000000001</v>
      </c>
      <c r="BO46" s="35">
        <f t="shared" si="93"/>
        <v>0.14699999999999999</v>
      </c>
      <c r="BP46" s="35">
        <f t="shared" si="94"/>
        <v>1.2999999999999999E-2</v>
      </c>
      <c r="BQ46" s="238">
        <f t="shared" si="95"/>
        <v>0.124</v>
      </c>
      <c r="BR46" s="195">
        <f t="shared" si="96"/>
        <v>8.3420702832931778E-2</v>
      </c>
    </row>
    <row r="47" spans="1:70" x14ac:dyDescent="0.25">
      <c r="A47" s="192" t="s">
        <v>40</v>
      </c>
      <c r="B47" s="35">
        <v>4.2000000000000003E-2</v>
      </c>
      <c r="C47" s="35">
        <v>7.0999999999999994E-2</v>
      </c>
      <c r="D47" s="35">
        <v>5.5E-2</v>
      </c>
      <c r="E47" s="35">
        <v>3.5000000000000003E-2</v>
      </c>
      <c r="F47" s="35">
        <v>0</v>
      </c>
      <c r="G47" s="35">
        <v>2.4E-2</v>
      </c>
      <c r="H47" s="35">
        <v>7.4999999999999997E-2</v>
      </c>
      <c r="I47" s="35">
        <v>4.7E-2</v>
      </c>
      <c r="J47" s="35">
        <v>1.2E-2</v>
      </c>
      <c r="K47" s="35">
        <v>4.4999999999999998E-2</v>
      </c>
      <c r="L47" s="35">
        <v>4.3999999999999997E-2</v>
      </c>
      <c r="M47" s="35">
        <v>0</v>
      </c>
      <c r="N47" s="35">
        <v>6.0000000000000001E-3</v>
      </c>
      <c r="O47" s="35">
        <v>8.9999999999999993E-3</v>
      </c>
      <c r="P47" s="315">
        <v>7.0000000000000001E-3</v>
      </c>
      <c r="Q47" s="315">
        <v>0</v>
      </c>
      <c r="R47" s="194">
        <v>6.0000000000000001E-3</v>
      </c>
      <c r="S47" s="35">
        <v>1.7999999999999999E-2</v>
      </c>
      <c r="T47" s="35">
        <v>1.2999999999999999E-2</v>
      </c>
      <c r="U47" s="35">
        <v>5.0000000000000001E-3</v>
      </c>
      <c r="V47" s="317">
        <v>0</v>
      </c>
      <c r="W47" s="198">
        <f t="shared" si="97"/>
        <v>2.7988781949136336E-2</v>
      </c>
      <c r="X47" s="245">
        <f t="shared" si="79"/>
        <v>4.2000000000000003E-2</v>
      </c>
      <c r="Y47" s="35">
        <f t="shared" si="80"/>
        <v>3.5000000000000003E-2</v>
      </c>
      <c r="Z47" s="35">
        <f t="shared" si="10"/>
        <v>0</v>
      </c>
      <c r="AA47" s="35">
        <f t="shared" si="11"/>
        <v>2.4E-2</v>
      </c>
      <c r="AB47" s="35">
        <f t="shared" si="12"/>
        <v>7.4999999999999997E-2</v>
      </c>
      <c r="AC47" s="35">
        <f t="shared" si="13"/>
        <v>4.7E-2</v>
      </c>
      <c r="AD47" s="35">
        <f t="shared" si="98"/>
        <v>1.2E-2</v>
      </c>
      <c r="AE47" s="35">
        <f t="shared" si="99"/>
        <v>4.4999999999999998E-2</v>
      </c>
      <c r="AF47" s="35">
        <f t="shared" si="100"/>
        <v>7.0000000000000001E-3</v>
      </c>
      <c r="AG47" s="35">
        <f t="shared" si="17"/>
        <v>0</v>
      </c>
      <c r="AH47" s="194">
        <f t="shared" si="18"/>
        <v>6.0000000000000001E-3</v>
      </c>
      <c r="AI47" s="238">
        <f t="shared" si="101"/>
        <v>3.3700186910554028E-2</v>
      </c>
      <c r="AJ47" s="245">
        <f t="shared" si="81"/>
        <v>4.2000000000000003E-2</v>
      </c>
      <c r="AK47" s="35">
        <f t="shared" si="82"/>
        <v>3.5000000000000003E-2</v>
      </c>
      <c r="AL47" s="35">
        <f t="shared" si="102"/>
        <v>1.2E-2</v>
      </c>
      <c r="AM47" s="35">
        <f t="shared" si="103"/>
        <v>4.4999999999999998E-2</v>
      </c>
      <c r="AN47" s="35">
        <f t="shared" si="104"/>
        <v>7.0000000000000001E-3</v>
      </c>
      <c r="AO47" s="35">
        <f t="shared" si="105"/>
        <v>1.7999999999999999E-2</v>
      </c>
      <c r="AP47" s="195">
        <f t="shared" si="106"/>
        <v>2.8233919273382143E-2</v>
      </c>
      <c r="AQ47" s="254">
        <f t="shared" si="83"/>
        <v>4.2000000000000003E-2</v>
      </c>
      <c r="AR47" s="35">
        <f t="shared" si="84"/>
        <v>5.5E-2</v>
      </c>
      <c r="AS47" s="35">
        <f t="shared" si="85"/>
        <v>4.3999999999999997E-2</v>
      </c>
      <c r="AT47" s="35">
        <f t="shared" si="107"/>
        <v>8.9999999999999993E-3</v>
      </c>
      <c r="AU47" s="35">
        <f t="shared" si="108"/>
        <v>1.7999999999999999E-2</v>
      </c>
      <c r="AV47" s="195">
        <f t="shared" si="117"/>
        <v>3.5027989225904665E-2</v>
      </c>
      <c r="AW47" s="254">
        <f t="shared" si="86"/>
        <v>7.0999999999999994E-2</v>
      </c>
      <c r="AX47" s="35">
        <f t="shared" si="87"/>
        <v>5.5E-2</v>
      </c>
      <c r="AY47" s="35">
        <f t="shared" si="88"/>
        <v>4.3999999999999997E-2</v>
      </c>
      <c r="AZ47" s="238">
        <f t="shared" si="89"/>
        <v>8.9999999999999993E-3</v>
      </c>
      <c r="BA47" s="238">
        <f t="shared" si="109"/>
        <v>1.2999999999999999E-2</v>
      </c>
      <c r="BB47" s="195">
        <f t="shared" si="118"/>
        <v>3.9027082827301426E-2</v>
      </c>
      <c r="BC47" s="245">
        <f t="shared" si="90"/>
        <v>7.0999999999999994E-2</v>
      </c>
      <c r="BD47" s="35">
        <f t="shared" si="91"/>
        <v>4.3999999999999997E-2</v>
      </c>
      <c r="BE47" s="238">
        <f t="shared" si="110"/>
        <v>1.2999999999999999E-2</v>
      </c>
      <c r="BF47" s="238">
        <f t="shared" si="111"/>
        <v>3.868040685224839E-2</v>
      </c>
      <c r="BG47" s="241">
        <f t="shared" si="112"/>
        <v>4.3999999999999997E-2</v>
      </c>
      <c r="BH47" s="194">
        <f t="shared" si="113"/>
        <v>0</v>
      </c>
      <c r="BI47" s="35">
        <f t="shared" si="114"/>
        <v>6.0000000000000001E-3</v>
      </c>
      <c r="BJ47" s="238">
        <f t="shared" si="115"/>
        <v>1.2999999999999999E-2</v>
      </c>
      <c r="BK47" s="238">
        <f t="shared" si="41"/>
        <v>5.0000000000000001E-3</v>
      </c>
      <c r="BL47" s="238">
        <f t="shared" si="42"/>
        <v>0</v>
      </c>
      <c r="BM47" s="195">
        <f t="shared" si="116"/>
        <v>8.5020470418238746E-3</v>
      </c>
      <c r="BN47" s="254">
        <f t="shared" si="92"/>
        <v>7.0999999999999994E-2</v>
      </c>
      <c r="BO47" s="35">
        <f t="shared" si="93"/>
        <v>5.5E-2</v>
      </c>
      <c r="BP47" s="35">
        <f t="shared" si="94"/>
        <v>6.0000000000000001E-3</v>
      </c>
      <c r="BQ47" s="238">
        <f t="shared" si="95"/>
        <v>8.9999999999999993E-3</v>
      </c>
      <c r="BR47" s="195">
        <f t="shared" si="96"/>
        <v>2.8984796876298079E-2</v>
      </c>
    </row>
    <row r="48" spans="1:70" x14ac:dyDescent="0.25">
      <c r="A48" s="192" t="s">
        <v>430</v>
      </c>
      <c r="B48" s="35">
        <v>0</v>
      </c>
      <c r="C48" s="35">
        <v>0.01</v>
      </c>
      <c r="D48" s="35">
        <v>3.2000000000000001E-2</v>
      </c>
      <c r="E48" s="35">
        <v>2.1000000000000001E-2</v>
      </c>
      <c r="F48" s="35">
        <v>0</v>
      </c>
      <c r="G48" s="35">
        <v>8.0000000000000002E-3</v>
      </c>
      <c r="H48" s="35">
        <v>0</v>
      </c>
      <c r="I48" s="35">
        <v>0</v>
      </c>
      <c r="J48" s="35">
        <v>0</v>
      </c>
      <c r="K48" s="35">
        <v>0</v>
      </c>
      <c r="L48" s="35">
        <v>0</v>
      </c>
      <c r="M48" s="35">
        <v>1.0999999999999999E-2</v>
      </c>
      <c r="N48" s="35">
        <v>1.0999999999999999E-2</v>
      </c>
      <c r="O48" s="35">
        <v>8.5000000000000006E-2</v>
      </c>
      <c r="P48" s="315">
        <v>4.0000000000000001E-3</v>
      </c>
      <c r="Q48" s="315">
        <v>0</v>
      </c>
      <c r="R48" s="194">
        <v>7.0000000000000001E-3</v>
      </c>
      <c r="S48" s="35">
        <v>4.0000000000000001E-3</v>
      </c>
      <c r="T48" s="35">
        <v>3.0000000000000001E-3</v>
      </c>
      <c r="U48" s="35">
        <v>1.2999999999999999E-2</v>
      </c>
      <c r="V48" s="317">
        <v>1.2999999999999999E-2</v>
      </c>
      <c r="W48" s="198">
        <f t="shared" si="97"/>
        <v>8.51338517432596E-3</v>
      </c>
      <c r="X48" s="245">
        <f t="shared" si="79"/>
        <v>0</v>
      </c>
      <c r="Y48" s="35">
        <f t="shared" si="80"/>
        <v>2.1000000000000001E-2</v>
      </c>
      <c r="Z48" s="35">
        <f t="shared" si="10"/>
        <v>0</v>
      </c>
      <c r="AA48" s="35">
        <f t="shared" si="11"/>
        <v>8.0000000000000002E-3</v>
      </c>
      <c r="AB48" s="35">
        <f t="shared" si="12"/>
        <v>0</v>
      </c>
      <c r="AC48" s="35">
        <f t="shared" si="13"/>
        <v>0</v>
      </c>
      <c r="AD48" s="35">
        <f t="shared" si="98"/>
        <v>0</v>
      </c>
      <c r="AE48" s="35">
        <f t="shared" si="99"/>
        <v>0</v>
      </c>
      <c r="AF48" s="35">
        <f t="shared" si="100"/>
        <v>4.0000000000000001E-3</v>
      </c>
      <c r="AG48" s="35">
        <f t="shared" si="17"/>
        <v>0</v>
      </c>
      <c r="AH48" s="194">
        <f t="shared" si="18"/>
        <v>7.0000000000000001E-3</v>
      </c>
      <c r="AI48" s="238">
        <f t="shared" si="101"/>
        <v>3.259049467090902E-3</v>
      </c>
      <c r="AJ48" s="245">
        <f t="shared" si="81"/>
        <v>0</v>
      </c>
      <c r="AK48" s="35">
        <f t="shared" si="82"/>
        <v>2.1000000000000001E-2</v>
      </c>
      <c r="AL48" s="35">
        <f t="shared" si="102"/>
        <v>0</v>
      </c>
      <c r="AM48" s="35">
        <f t="shared" si="103"/>
        <v>0</v>
      </c>
      <c r="AN48" s="35">
        <f t="shared" si="104"/>
        <v>4.0000000000000001E-3</v>
      </c>
      <c r="AO48" s="35">
        <f t="shared" si="105"/>
        <v>4.0000000000000001E-3</v>
      </c>
      <c r="AP48" s="195">
        <f t="shared" si="106"/>
        <v>4.1961006929491455E-3</v>
      </c>
      <c r="AQ48" s="254">
        <f t="shared" si="83"/>
        <v>0</v>
      </c>
      <c r="AR48" s="35">
        <f t="shared" si="84"/>
        <v>3.2000000000000001E-2</v>
      </c>
      <c r="AS48" s="35">
        <f t="shared" si="85"/>
        <v>0</v>
      </c>
      <c r="AT48" s="35">
        <f t="shared" si="107"/>
        <v>8.5000000000000006E-2</v>
      </c>
      <c r="AU48" s="35">
        <f t="shared" si="108"/>
        <v>4.0000000000000001E-3</v>
      </c>
      <c r="AV48" s="195">
        <f t="shared" si="117"/>
        <v>1.6379318421360815E-2</v>
      </c>
      <c r="AW48" s="254">
        <f t="shared" si="86"/>
        <v>0.01</v>
      </c>
      <c r="AX48" s="35">
        <f t="shared" si="87"/>
        <v>3.2000000000000001E-2</v>
      </c>
      <c r="AY48" s="35">
        <f t="shared" si="88"/>
        <v>0</v>
      </c>
      <c r="AZ48" s="238">
        <f t="shared" si="89"/>
        <v>8.5000000000000006E-2</v>
      </c>
      <c r="BA48" s="238">
        <f t="shared" si="109"/>
        <v>3.0000000000000001E-3</v>
      </c>
      <c r="BB48" s="195">
        <f t="shared" si="118"/>
        <v>1.8512266213262085E-2</v>
      </c>
      <c r="BC48" s="245">
        <f t="shared" si="90"/>
        <v>0.01</v>
      </c>
      <c r="BD48" s="35">
        <f t="shared" si="91"/>
        <v>0</v>
      </c>
      <c r="BE48" s="238">
        <f t="shared" si="110"/>
        <v>3.0000000000000001E-3</v>
      </c>
      <c r="BF48" s="238">
        <f t="shared" si="111"/>
        <v>3.9448608137044967E-3</v>
      </c>
      <c r="BG48" s="241">
        <f t="shared" si="112"/>
        <v>0</v>
      </c>
      <c r="BH48" s="194">
        <f t="shared" si="113"/>
        <v>1.0999999999999999E-2</v>
      </c>
      <c r="BI48" s="35">
        <f t="shared" si="114"/>
        <v>1.0999999999999999E-2</v>
      </c>
      <c r="BJ48" s="238">
        <f t="shared" si="115"/>
        <v>3.0000000000000001E-3</v>
      </c>
      <c r="BK48" s="238">
        <f t="shared" si="41"/>
        <v>1.2999999999999999E-2</v>
      </c>
      <c r="BL48" s="238">
        <f t="shared" si="42"/>
        <v>1.2999999999999999E-2</v>
      </c>
      <c r="BM48" s="195">
        <f t="shared" si="116"/>
        <v>1.0016296058441038E-2</v>
      </c>
      <c r="BN48" s="254">
        <f t="shared" si="92"/>
        <v>0.01</v>
      </c>
      <c r="BO48" s="35">
        <f t="shared" si="93"/>
        <v>3.2000000000000001E-2</v>
      </c>
      <c r="BP48" s="35">
        <f t="shared" si="94"/>
        <v>1.0999999999999999E-2</v>
      </c>
      <c r="BQ48" s="238">
        <f t="shared" si="95"/>
        <v>8.5000000000000006E-2</v>
      </c>
      <c r="BR48" s="195">
        <f t="shared" si="96"/>
        <v>2.7720279139320431E-2</v>
      </c>
    </row>
    <row r="49" spans="1:70" x14ac:dyDescent="0.25">
      <c r="A49" s="192" t="s">
        <v>42</v>
      </c>
      <c r="B49" s="35">
        <v>5.2999999999999999E-2</v>
      </c>
      <c r="C49" s="35">
        <v>0.05</v>
      </c>
      <c r="D49" s="35">
        <v>0.03</v>
      </c>
      <c r="E49" s="35">
        <v>1.9E-2</v>
      </c>
      <c r="F49" s="35">
        <v>2.7E-2</v>
      </c>
      <c r="G49" s="35">
        <v>3.5999999999999997E-2</v>
      </c>
      <c r="H49" s="35">
        <v>7.4999999999999997E-2</v>
      </c>
      <c r="I49" s="35">
        <v>3.3000000000000002E-2</v>
      </c>
      <c r="J49" s="35">
        <v>9.4E-2</v>
      </c>
      <c r="K49" s="35">
        <v>3.5999999999999997E-2</v>
      </c>
      <c r="L49" s="35">
        <v>1.7000000000000001E-2</v>
      </c>
      <c r="M49" s="35">
        <v>3.9E-2</v>
      </c>
      <c r="N49" s="35">
        <v>1.0999999999999999E-2</v>
      </c>
      <c r="O49" s="35">
        <v>2.1000000000000001E-2</v>
      </c>
      <c r="P49" s="315">
        <v>4.4999999999999998E-2</v>
      </c>
      <c r="Q49" s="315">
        <v>0</v>
      </c>
      <c r="R49" s="194">
        <v>2.9000000000000001E-2</v>
      </c>
      <c r="S49" s="35">
        <v>2.3E-2</v>
      </c>
      <c r="T49" s="35">
        <v>0.01</v>
      </c>
      <c r="U49" s="35">
        <v>7.0000000000000001E-3</v>
      </c>
      <c r="V49" s="317">
        <v>9.7000000000000003E-2</v>
      </c>
      <c r="W49" s="198">
        <f t="shared" si="97"/>
        <v>3.3244821212314368E-2</v>
      </c>
      <c r="X49" s="245">
        <f t="shared" si="79"/>
        <v>5.2999999999999999E-2</v>
      </c>
      <c r="Y49" s="35">
        <f t="shared" si="80"/>
        <v>1.9E-2</v>
      </c>
      <c r="Z49" s="35">
        <f t="shared" si="10"/>
        <v>2.7E-2</v>
      </c>
      <c r="AA49" s="35">
        <f t="shared" si="11"/>
        <v>3.5999999999999997E-2</v>
      </c>
      <c r="AB49" s="35">
        <f t="shared" si="12"/>
        <v>7.4999999999999997E-2</v>
      </c>
      <c r="AC49" s="35">
        <f t="shared" si="13"/>
        <v>3.3000000000000002E-2</v>
      </c>
      <c r="AD49" s="35">
        <f t="shared" si="98"/>
        <v>9.4E-2</v>
      </c>
      <c r="AE49" s="35">
        <f t="shared" si="99"/>
        <v>3.5999999999999997E-2</v>
      </c>
      <c r="AF49" s="35">
        <f t="shared" si="100"/>
        <v>4.4999999999999998E-2</v>
      </c>
      <c r="AG49" s="35">
        <f t="shared" si="17"/>
        <v>0</v>
      </c>
      <c r="AH49" s="194">
        <f t="shared" si="18"/>
        <v>2.9000000000000001E-2</v>
      </c>
      <c r="AI49" s="238">
        <f t="shared" si="101"/>
        <v>4.3156034642658415E-2</v>
      </c>
      <c r="AJ49" s="245">
        <f t="shared" si="81"/>
        <v>5.2999999999999999E-2</v>
      </c>
      <c r="AK49" s="35">
        <f t="shared" si="82"/>
        <v>1.9E-2</v>
      </c>
      <c r="AL49" s="35">
        <f t="shared" si="102"/>
        <v>9.4E-2</v>
      </c>
      <c r="AM49" s="35">
        <f t="shared" si="103"/>
        <v>3.5999999999999997E-2</v>
      </c>
      <c r="AN49" s="35">
        <f t="shared" si="104"/>
        <v>4.4999999999999998E-2</v>
      </c>
      <c r="AO49" s="35">
        <f t="shared" si="105"/>
        <v>2.3E-2</v>
      </c>
      <c r="AP49" s="195">
        <f t="shared" si="106"/>
        <v>4.3415456289394354E-2</v>
      </c>
      <c r="AQ49" s="254">
        <f t="shared" si="83"/>
        <v>5.2999999999999999E-2</v>
      </c>
      <c r="AR49" s="35">
        <f t="shared" si="84"/>
        <v>0.03</v>
      </c>
      <c r="AS49" s="35">
        <f t="shared" si="85"/>
        <v>1.7000000000000001E-2</v>
      </c>
      <c r="AT49" s="35">
        <f t="shared" si="107"/>
        <v>2.1000000000000001E-2</v>
      </c>
      <c r="AU49" s="35">
        <f t="shared" si="108"/>
        <v>2.3E-2</v>
      </c>
      <c r="AV49" s="195">
        <f t="shared" si="117"/>
        <v>2.9068040754186668E-2</v>
      </c>
      <c r="AW49" s="254">
        <f t="shared" si="86"/>
        <v>0.05</v>
      </c>
      <c r="AX49" s="35">
        <f t="shared" si="87"/>
        <v>0.03</v>
      </c>
      <c r="AY49" s="35">
        <f t="shared" si="88"/>
        <v>1.7000000000000001E-2</v>
      </c>
      <c r="AZ49" s="238">
        <f t="shared" si="89"/>
        <v>2.1000000000000001E-2</v>
      </c>
      <c r="BA49" s="238">
        <f t="shared" si="109"/>
        <v>0.01</v>
      </c>
      <c r="BB49" s="195">
        <f t="shared" si="118"/>
        <v>2.4362156910371632E-2</v>
      </c>
      <c r="BC49" s="245">
        <f t="shared" si="90"/>
        <v>0.05</v>
      </c>
      <c r="BD49" s="35">
        <f t="shared" si="91"/>
        <v>1.7000000000000001E-2</v>
      </c>
      <c r="BE49" s="238">
        <f t="shared" si="110"/>
        <v>0.01</v>
      </c>
      <c r="BF49" s="238">
        <f t="shared" si="111"/>
        <v>2.3115096359743046E-2</v>
      </c>
      <c r="BG49" s="241">
        <f t="shared" si="112"/>
        <v>1.7000000000000001E-2</v>
      </c>
      <c r="BH49" s="194">
        <f t="shared" si="113"/>
        <v>3.9E-2</v>
      </c>
      <c r="BI49" s="35">
        <f t="shared" si="114"/>
        <v>1.0999999999999999E-2</v>
      </c>
      <c r="BJ49" s="238">
        <f t="shared" si="115"/>
        <v>0.01</v>
      </c>
      <c r="BK49" s="238">
        <f t="shared" si="41"/>
        <v>7.0000000000000001E-3</v>
      </c>
      <c r="BL49" s="238">
        <f t="shared" si="42"/>
        <v>9.7000000000000003E-2</v>
      </c>
      <c r="BM49" s="195">
        <f t="shared" si="116"/>
        <v>2.6594284338123147E-2</v>
      </c>
      <c r="BN49" s="254">
        <f t="shared" si="92"/>
        <v>0.05</v>
      </c>
      <c r="BO49" s="35">
        <f t="shared" si="93"/>
        <v>0.03</v>
      </c>
      <c r="BP49" s="35">
        <f t="shared" si="94"/>
        <v>1.0999999999999999E-2</v>
      </c>
      <c r="BQ49" s="238">
        <f t="shared" si="95"/>
        <v>2.1000000000000001E-2</v>
      </c>
      <c r="BR49" s="195">
        <f t="shared" si="96"/>
        <v>2.2938024424690538E-2</v>
      </c>
    </row>
    <row r="50" spans="1:70" x14ac:dyDescent="0.25">
      <c r="A50" s="192" t="s">
        <v>87</v>
      </c>
      <c r="B50" s="5"/>
      <c r="C50" s="5"/>
      <c r="D50" s="5"/>
      <c r="E50" s="5"/>
      <c r="F50" s="5"/>
      <c r="G50" s="5"/>
      <c r="H50" s="5"/>
      <c r="I50" s="5"/>
      <c r="J50" s="5"/>
      <c r="K50" s="5"/>
      <c r="L50" s="5"/>
      <c r="M50" s="5"/>
      <c r="N50" s="5"/>
      <c r="O50" s="5"/>
      <c r="P50" s="5"/>
      <c r="Q50" s="5"/>
      <c r="R50" s="67"/>
      <c r="S50" s="5"/>
      <c r="T50" s="5"/>
      <c r="U50" s="5"/>
      <c r="V50" s="237"/>
      <c r="W50" s="43"/>
      <c r="X50" s="241"/>
      <c r="Y50" s="35"/>
      <c r="Z50" s="35"/>
      <c r="AA50" s="35"/>
      <c r="AB50" s="35"/>
      <c r="AC50" s="35"/>
      <c r="AD50" s="35"/>
      <c r="AE50" s="35"/>
      <c r="AF50" s="35"/>
      <c r="AG50" s="35"/>
      <c r="AH50" s="194"/>
      <c r="AI50" s="238"/>
      <c r="AJ50" s="241"/>
      <c r="AK50" s="35"/>
      <c r="AL50" s="35"/>
      <c r="AM50" s="35"/>
      <c r="AN50" s="35"/>
      <c r="AO50" s="35"/>
      <c r="AP50" s="195"/>
      <c r="AQ50" s="256"/>
      <c r="AR50" s="35"/>
      <c r="AS50" s="35"/>
      <c r="AT50" s="35"/>
      <c r="AU50" s="35"/>
      <c r="AV50" s="195"/>
      <c r="AW50" s="256"/>
      <c r="AX50" s="35"/>
      <c r="AY50" s="35"/>
      <c r="AZ50" s="238"/>
      <c r="BA50" s="238"/>
      <c r="BB50" s="195"/>
      <c r="BC50" s="241"/>
      <c r="BD50" s="35"/>
      <c r="BE50" s="238"/>
      <c r="BF50" s="238"/>
      <c r="BG50" s="241"/>
      <c r="BH50" s="35"/>
      <c r="BI50" s="35"/>
      <c r="BJ50" s="238"/>
      <c r="BK50" s="238"/>
      <c r="BL50" s="238"/>
      <c r="BM50" s="195"/>
      <c r="BN50" s="256"/>
      <c r="BO50" s="35"/>
      <c r="BP50" s="35"/>
      <c r="BQ50" s="238"/>
      <c r="BR50" s="195"/>
    </row>
    <row r="51" spans="1:70" x14ac:dyDescent="0.25">
      <c r="A51" s="192" t="s">
        <v>431</v>
      </c>
      <c r="B51" s="35">
        <v>0.191</v>
      </c>
      <c r="C51" s="35">
        <v>0.23300000000000001</v>
      </c>
      <c r="D51" s="35">
        <v>0.26100000000000001</v>
      </c>
      <c r="E51" s="35">
        <v>0.114</v>
      </c>
      <c r="F51" s="35">
        <v>5.6000000000000001E-2</v>
      </c>
      <c r="G51" s="35">
        <v>0.19400000000000001</v>
      </c>
      <c r="H51" s="35">
        <v>0.182</v>
      </c>
      <c r="I51" s="35">
        <v>0.24299999999999999</v>
      </c>
      <c r="J51" s="35">
        <v>0.28199999999999997</v>
      </c>
      <c r="K51" s="35">
        <v>0.28899999999999998</v>
      </c>
      <c r="L51" s="35">
        <v>0.27600000000000002</v>
      </c>
      <c r="M51" s="35">
        <v>0.255</v>
      </c>
      <c r="N51" s="35">
        <v>0.19400000000000001</v>
      </c>
      <c r="O51" s="35">
        <v>0.14199999999999999</v>
      </c>
      <c r="P51" s="315">
        <v>0.104</v>
      </c>
      <c r="Q51" s="315">
        <v>0.159</v>
      </c>
      <c r="R51" s="194">
        <v>0.13300000000000001</v>
      </c>
      <c r="S51" s="35">
        <v>0.17799999999999999</v>
      </c>
      <c r="T51" s="35">
        <v>0.19400000000000001</v>
      </c>
      <c r="U51" s="35">
        <v>9.1999999999999998E-2</v>
      </c>
      <c r="V51" s="317">
        <v>0.29299999999999998</v>
      </c>
      <c r="W51" s="198">
        <f t="shared" si="97"/>
        <v>0.19323025686786921</v>
      </c>
      <c r="X51" s="245">
        <f t="shared" ref="X51:X60" si="119">B51</f>
        <v>0.191</v>
      </c>
      <c r="Y51" s="35">
        <f t="shared" ref="Y51:Y60" si="120">E51</f>
        <v>0.114</v>
      </c>
      <c r="Z51" s="35">
        <f t="shared" si="10"/>
        <v>5.6000000000000001E-2</v>
      </c>
      <c r="AA51" s="35">
        <f t="shared" si="11"/>
        <v>0.19400000000000001</v>
      </c>
      <c r="AB51" s="35">
        <f t="shared" si="12"/>
        <v>0.182</v>
      </c>
      <c r="AC51" s="35">
        <f t="shared" si="13"/>
        <v>0.24299999999999999</v>
      </c>
      <c r="AD51" s="35">
        <f t="shared" si="98"/>
        <v>0.28199999999999997</v>
      </c>
      <c r="AE51" s="35">
        <f t="shared" ref="AE51:AE60" si="121">K51</f>
        <v>0.28899999999999998</v>
      </c>
      <c r="AF51" s="35">
        <f t="shared" si="100"/>
        <v>0.104</v>
      </c>
      <c r="AG51" s="35">
        <f t="shared" si="17"/>
        <v>0.159</v>
      </c>
      <c r="AH51" s="194">
        <f t="shared" si="18"/>
        <v>0.13300000000000001</v>
      </c>
      <c r="AI51" s="238">
        <f t="shared" si="101"/>
        <v>0.18551154993080027</v>
      </c>
      <c r="AJ51" s="245">
        <f t="shared" ref="AJ51:AJ60" si="122">B51</f>
        <v>0.191</v>
      </c>
      <c r="AK51" s="35">
        <f t="shared" ref="AK51:AK60" si="123">E51</f>
        <v>0.114</v>
      </c>
      <c r="AL51" s="35">
        <f t="shared" si="102"/>
        <v>0.28199999999999997</v>
      </c>
      <c r="AM51" s="35">
        <f t="shared" ref="AM51:AM60" si="124">K51</f>
        <v>0.28899999999999998</v>
      </c>
      <c r="AN51" s="35">
        <f t="shared" si="104"/>
        <v>0.104</v>
      </c>
      <c r="AO51" s="35">
        <f t="shared" si="105"/>
        <v>0.17799999999999999</v>
      </c>
      <c r="AP51" s="195">
        <f t="shared" si="106"/>
        <v>0.20540429863367654</v>
      </c>
      <c r="AQ51" s="254">
        <f t="shared" ref="AQ51:AQ60" si="125">B51</f>
        <v>0.191</v>
      </c>
      <c r="AR51" s="35">
        <f t="shared" ref="AR51:AR60" si="126">D51</f>
        <v>0.26100000000000001</v>
      </c>
      <c r="AS51" s="35">
        <f t="shared" ref="AS51:AS60" si="127">L51</f>
        <v>0.27600000000000002</v>
      </c>
      <c r="AT51" s="35">
        <f t="shared" si="107"/>
        <v>0.14199999999999999</v>
      </c>
      <c r="AU51" s="35">
        <f t="shared" si="108"/>
        <v>0.17799999999999999</v>
      </c>
      <c r="AV51" s="195">
        <f t="shared" si="117"/>
        <v>0.21461880782293002</v>
      </c>
      <c r="AW51" s="254">
        <f t="shared" ref="AW51:AW60" si="128">C51</f>
        <v>0.23300000000000001</v>
      </c>
      <c r="AX51" s="35">
        <f t="shared" ref="AX51:AX60" si="129">D51</f>
        <v>0.26100000000000001</v>
      </c>
      <c r="AY51" s="35">
        <f t="shared" ref="AY51:AY60" si="130">L51</f>
        <v>0.27600000000000002</v>
      </c>
      <c r="AZ51" s="238">
        <f t="shared" ref="AZ51:AZ60" si="131">O51</f>
        <v>0.14199999999999999</v>
      </c>
      <c r="BA51" s="238">
        <f t="shared" si="109"/>
        <v>0.19400000000000001</v>
      </c>
      <c r="BB51" s="195">
        <f t="shared" si="118"/>
        <v>0.22786677192130192</v>
      </c>
      <c r="BC51" s="245">
        <f t="shared" ref="BC51:BC60" si="132">C51</f>
        <v>0.23300000000000001</v>
      </c>
      <c r="BD51" s="35">
        <f t="shared" ref="BD51:BD60" si="133">L51</f>
        <v>0.27600000000000002</v>
      </c>
      <c r="BE51" s="238">
        <f t="shared" si="110"/>
        <v>0.19400000000000001</v>
      </c>
      <c r="BF51" s="238">
        <f t="shared" si="111"/>
        <v>0.23081263383297645</v>
      </c>
      <c r="BG51" s="241">
        <f t="shared" si="112"/>
        <v>0.27600000000000002</v>
      </c>
      <c r="BH51" s="194">
        <f t="shared" ref="BH51:BH60" si="134">M51</f>
        <v>0.255</v>
      </c>
      <c r="BI51" s="35">
        <f t="shared" ref="BI51:BI60" si="135">N51</f>
        <v>0.19400000000000001</v>
      </c>
      <c r="BJ51" s="238">
        <f t="shared" si="115"/>
        <v>0.19400000000000001</v>
      </c>
      <c r="BK51" s="238">
        <f t="shared" si="41"/>
        <v>9.1999999999999998E-2</v>
      </c>
      <c r="BL51" s="238">
        <f t="shared" si="42"/>
        <v>0.29299999999999998</v>
      </c>
      <c r="BM51" s="195">
        <f t="shared" si="116"/>
        <v>0.18660817211206551</v>
      </c>
      <c r="BN51" s="254">
        <f t="shared" ref="BN51:BN60" si="136">C51</f>
        <v>0.23300000000000001</v>
      </c>
      <c r="BO51" s="35">
        <f t="shared" ref="BO51:BO60" si="137">D51</f>
        <v>0.26100000000000001</v>
      </c>
      <c r="BP51" s="35">
        <f t="shared" ref="BP51:BP60" si="138">N51</f>
        <v>0.19400000000000001</v>
      </c>
      <c r="BQ51" s="238">
        <f t="shared" ref="BQ51:BQ60" si="139">O51</f>
        <v>0.14199999999999999</v>
      </c>
      <c r="BR51" s="195">
        <f t="shared" ref="BR51:BR60" si="140">((BN51*$BN$36)+(BO51*$BO$36)+(BP51*$BP$36)+(BQ51*$BQ$36))/$BR$36</f>
        <v>0.21099410152031239</v>
      </c>
    </row>
    <row r="52" spans="1:70" x14ac:dyDescent="0.25">
      <c r="A52" s="192" t="s">
        <v>432</v>
      </c>
      <c r="B52" s="35">
        <v>0.29299999999999998</v>
      </c>
      <c r="C52" s="35">
        <v>0.20599999999999999</v>
      </c>
      <c r="D52" s="35">
        <v>0.216</v>
      </c>
      <c r="E52" s="35">
        <v>0.14399999999999999</v>
      </c>
      <c r="F52" s="35">
        <v>0.38600000000000001</v>
      </c>
      <c r="G52" s="35">
        <v>0.26100000000000001</v>
      </c>
      <c r="H52" s="35">
        <v>0.32</v>
      </c>
      <c r="I52" s="35">
        <v>0.224</v>
      </c>
      <c r="J52" s="35">
        <v>0.26</v>
      </c>
      <c r="K52" s="35">
        <v>0.25600000000000001</v>
      </c>
      <c r="L52" s="35">
        <v>0.29899999999999999</v>
      </c>
      <c r="M52" s="35">
        <v>0.14299999999999999</v>
      </c>
      <c r="N52" s="35">
        <v>0.19400000000000001</v>
      </c>
      <c r="O52" s="35">
        <v>0.23100000000000001</v>
      </c>
      <c r="P52" s="315">
        <v>0.27800000000000002</v>
      </c>
      <c r="Q52" s="315">
        <v>0.217</v>
      </c>
      <c r="R52" s="194">
        <v>0.14199999999999999</v>
      </c>
      <c r="S52" s="35">
        <v>0.27700000000000002</v>
      </c>
      <c r="T52" s="35">
        <v>0.17</v>
      </c>
      <c r="U52" s="35">
        <v>0.127</v>
      </c>
      <c r="V52" s="317">
        <v>0.16900000000000001</v>
      </c>
      <c r="W52" s="198">
        <f t="shared" si="97"/>
        <v>0.22465902861877751</v>
      </c>
      <c r="X52" s="245">
        <f t="shared" si="119"/>
        <v>0.29299999999999998</v>
      </c>
      <c r="Y52" s="35">
        <f t="shared" si="120"/>
        <v>0.14399999999999999</v>
      </c>
      <c r="Z52" s="35">
        <f t="shared" si="10"/>
        <v>0.38600000000000001</v>
      </c>
      <c r="AA52" s="35">
        <f t="shared" si="11"/>
        <v>0.26100000000000001</v>
      </c>
      <c r="AB52" s="35">
        <f t="shared" si="12"/>
        <v>0.32</v>
      </c>
      <c r="AC52" s="35">
        <f t="shared" si="13"/>
        <v>0.224</v>
      </c>
      <c r="AD52" s="35">
        <f t="shared" si="98"/>
        <v>0.26</v>
      </c>
      <c r="AE52" s="35">
        <f t="shared" si="121"/>
        <v>0.25600000000000001</v>
      </c>
      <c r="AF52" s="35">
        <f t="shared" si="100"/>
        <v>0.27800000000000002</v>
      </c>
      <c r="AG52" s="35">
        <f t="shared" si="17"/>
        <v>0.217</v>
      </c>
      <c r="AH52" s="194">
        <f t="shared" si="18"/>
        <v>0.14199999999999999</v>
      </c>
      <c r="AI52" s="238">
        <f t="shared" si="101"/>
        <v>0.25466637179505475</v>
      </c>
      <c r="AJ52" s="245">
        <f t="shared" si="122"/>
        <v>0.29299999999999998</v>
      </c>
      <c r="AK52" s="35">
        <f t="shared" si="123"/>
        <v>0.14399999999999999</v>
      </c>
      <c r="AL52" s="35">
        <f t="shared" si="102"/>
        <v>0.26</v>
      </c>
      <c r="AM52" s="35">
        <f t="shared" si="124"/>
        <v>0.25600000000000001</v>
      </c>
      <c r="AN52" s="35">
        <f t="shared" si="104"/>
        <v>0.27800000000000002</v>
      </c>
      <c r="AO52" s="35">
        <f t="shared" si="105"/>
        <v>0.27700000000000002</v>
      </c>
      <c r="AP52" s="195">
        <f t="shared" si="106"/>
        <v>0.25279849665270332</v>
      </c>
      <c r="AQ52" s="254">
        <f t="shared" si="125"/>
        <v>0.29299999999999998</v>
      </c>
      <c r="AR52" s="35">
        <f t="shared" si="126"/>
        <v>0.216</v>
      </c>
      <c r="AS52" s="35">
        <f t="shared" si="127"/>
        <v>0.29899999999999999</v>
      </c>
      <c r="AT52" s="35">
        <f t="shared" si="107"/>
        <v>0.23100000000000001</v>
      </c>
      <c r="AU52" s="35">
        <f t="shared" si="108"/>
        <v>0.27700000000000002</v>
      </c>
      <c r="AV52" s="195">
        <f t="shared" si="117"/>
        <v>0.26760370066752542</v>
      </c>
      <c r="AW52" s="254">
        <f t="shared" si="128"/>
        <v>0.20599999999999999</v>
      </c>
      <c r="AX52" s="35">
        <f t="shared" si="129"/>
        <v>0.216</v>
      </c>
      <c r="AY52" s="35">
        <f t="shared" si="130"/>
        <v>0.29899999999999999</v>
      </c>
      <c r="AZ52" s="238">
        <f t="shared" si="131"/>
        <v>0.23100000000000001</v>
      </c>
      <c r="BA52" s="238">
        <f t="shared" si="109"/>
        <v>0.17</v>
      </c>
      <c r="BB52" s="195">
        <f t="shared" si="118"/>
        <v>0.22100170026718485</v>
      </c>
      <c r="BC52" s="245">
        <f t="shared" si="132"/>
        <v>0.20599999999999999</v>
      </c>
      <c r="BD52" s="35">
        <f t="shared" si="133"/>
        <v>0.29899999999999999</v>
      </c>
      <c r="BE52" s="238">
        <f t="shared" si="110"/>
        <v>0.17</v>
      </c>
      <c r="BF52" s="238">
        <f t="shared" si="111"/>
        <v>0.2210176659528908</v>
      </c>
      <c r="BG52" s="241">
        <f t="shared" si="112"/>
        <v>0.29899999999999999</v>
      </c>
      <c r="BH52" s="194">
        <f t="shared" si="134"/>
        <v>0.14299999999999999</v>
      </c>
      <c r="BI52" s="35">
        <f t="shared" si="135"/>
        <v>0.19400000000000001</v>
      </c>
      <c r="BJ52" s="238">
        <f t="shared" si="115"/>
        <v>0.17</v>
      </c>
      <c r="BK52" s="238">
        <f t="shared" si="41"/>
        <v>0.127</v>
      </c>
      <c r="BL52" s="238">
        <f t="shared" si="42"/>
        <v>0.16900000000000001</v>
      </c>
      <c r="BM52" s="195">
        <f t="shared" si="116"/>
        <v>0.16655775868989323</v>
      </c>
      <c r="BN52" s="254">
        <f t="shared" si="136"/>
        <v>0.20599999999999999</v>
      </c>
      <c r="BO52" s="35">
        <f t="shared" si="137"/>
        <v>0.216</v>
      </c>
      <c r="BP52" s="35">
        <f t="shared" si="138"/>
        <v>0.19400000000000001</v>
      </c>
      <c r="BQ52" s="238">
        <f t="shared" si="139"/>
        <v>0.23100000000000001</v>
      </c>
      <c r="BR52" s="195">
        <f t="shared" si="140"/>
        <v>0.20730381324250227</v>
      </c>
    </row>
    <row r="53" spans="1:70" x14ac:dyDescent="0.25">
      <c r="A53" s="192" t="s">
        <v>433</v>
      </c>
      <c r="B53" s="35">
        <v>0.34599999999999997</v>
      </c>
      <c r="C53" s="35">
        <v>0.22700000000000001</v>
      </c>
      <c r="D53" s="35">
        <v>0.215</v>
      </c>
      <c r="E53" s="35">
        <v>0.29399999999999998</v>
      </c>
      <c r="F53" s="35">
        <v>0.20200000000000001</v>
      </c>
      <c r="G53" s="35">
        <v>0.23599999999999999</v>
      </c>
      <c r="H53" s="35">
        <v>0.23499999999999999</v>
      </c>
      <c r="I53" s="35">
        <v>0.19900000000000001</v>
      </c>
      <c r="J53" s="35">
        <v>0.26100000000000001</v>
      </c>
      <c r="K53" s="35">
        <v>0.27900000000000003</v>
      </c>
      <c r="L53" s="35">
        <v>0.192</v>
      </c>
      <c r="M53" s="35">
        <v>0.188</v>
      </c>
      <c r="N53" s="35">
        <v>0.216</v>
      </c>
      <c r="O53" s="35">
        <v>0.17599999999999999</v>
      </c>
      <c r="P53" s="315">
        <v>0.34599999999999997</v>
      </c>
      <c r="Q53" s="315">
        <v>0.23699999999999999</v>
      </c>
      <c r="R53" s="194">
        <v>0.193</v>
      </c>
      <c r="S53" s="35">
        <v>0.20699999999999999</v>
      </c>
      <c r="T53" s="35">
        <v>0.223</v>
      </c>
      <c r="U53" s="35">
        <v>0.187</v>
      </c>
      <c r="V53" s="317">
        <v>0.19400000000000001</v>
      </c>
      <c r="W53" s="198">
        <f t="shared" si="97"/>
        <v>0.22430119829179682</v>
      </c>
      <c r="X53" s="245">
        <f t="shared" si="119"/>
        <v>0.34599999999999997</v>
      </c>
      <c r="Y53" s="35">
        <f t="shared" si="120"/>
        <v>0.29399999999999998</v>
      </c>
      <c r="Z53" s="35">
        <f t="shared" si="10"/>
        <v>0.20200000000000001</v>
      </c>
      <c r="AA53" s="35">
        <f t="shared" si="11"/>
        <v>0.23599999999999999</v>
      </c>
      <c r="AB53" s="35">
        <f t="shared" si="12"/>
        <v>0.23499999999999999</v>
      </c>
      <c r="AC53" s="35">
        <f t="shared" si="13"/>
        <v>0.19900000000000001</v>
      </c>
      <c r="AD53" s="35">
        <f t="shared" si="98"/>
        <v>0.26100000000000001</v>
      </c>
      <c r="AE53" s="35">
        <f t="shared" si="121"/>
        <v>0.27900000000000003</v>
      </c>
      <c r="AF53" s="35">
        <f t="shared" si="100"/>
        <v>0.34599999999999997</v>
      </c>
      <c r="AG53" s="35">
        <f t="shared" si="17"/>
        <v>0.23699999999999999</v>
      </c>
      <c r="AH53" s="194">
        <f t="shared" si="18"/>
        <v>0.193</v>
      </c>
      <c r="AI53" s="238">
        <f t="shared" si="101"/>
        <v>0.24451304806882873</v>
      </c>
      <c r="AJ53" s="245">
        <f t="shared" si="122"/>
        <v>0.34599999999999997</v>
      </c>
      <c r="AK53" s="35">
        <f t="shared" si="123"/>
        <v>0.29399999999999998</v>
      </c>
      <c r="AL53" s="35">
        <f t="shared" si="102"/>
        <v>0.26100000000000001</v>
      </c>
      <c r="AM53" s="35">
        <f t="shared" si="124"/>
        <v>0.27900000000000003</v>
      </c>
      <c r="AN53" s="35">
        <f t="shared" si="104"/>
        <v>0.34599999999999997</v>
      </c>
      <c r="AO53" s="35">
        <f t="shared" si="105"/>
        <v>0.20699999999999999</v>
      </c>
      <c r="AP53" s="195">
        <f t="shared" si="106"/>
        <v>0.28276146106565403</v>
      </c>
      <c r="AQ53" s="254">
        <f t="shared" si="125"/>
        <v>0.34599999999999997</v>
      </c>
      <c r="AR53" s="35">
        <f t="shared" si="126"/>
        <v>0.215</v>
      </c>
      <c r="AS53" s="35">
        <f t="shared" si="127"/>
        <v>0.192</v>
      </c>
      <c r="AT53" s="35">
        <f t="shared" si="107"/>
        <v>0.17599999999999999</v>
      </c>
      <c r="AU53" s="35">
        <f t="shared" si="108"/>
        <v>0.20699999999999999</v>
      </c>
      <c r="AV53" s="195">
        <f t="shared" si="117"/>
        <v>0.23054994730062067</v>
      </c>
      <c r="AW53" s="254">
        <f t="shared" si="128"/>
        <v>0.22700000000000001</v>
      </c>
      <c r="AX53" s="35">
        <f t="shared" si="129"/>
        <v>0.215</v>
      </c>
      <c r="AY53" s="35">
        <f t="shared" si="130"/>
        <v>0.192</v>
      </c>
      <c r="AZ53" s="238">
        <f t="shared" si="131"/>
        <v>0.17599999999999999</v>
      </c>
      <c r="BA53" s="238">
        <f t="shared" si="109"/>
        <v>0.223</v>
      </c>
      <c r="BB53" s="195">
        <f t="shared" si="118"/>
        <v>0.21031673548700511</v>
      </c>
      <c r="BC53" s="245">
        <f t="shared" si="132"/>
        <v>0.22700000000000001</v>
      </c>
      <c r="BD53" s="35">
        <f t="shared" si="133"/>
        <v>0.192</v>
      </c>
      <c r="BE53" s="238">
        <f t="shared" si="110"/>
        <v>0.223</v>
      </c>
      <c r="BF53" s="238">
        <f t="shared" si="111"/>
        <v>0.2141804068522484</v>
      </c>
      <c r="BG53" s="241">
        <f t="shared" si="112"/>
        <v>0.192</v>
      </c>
      <c r="BH53" s="194">
        <f t="shared" si="134"/>
        <v>0.188</v>
      </c>
      <c r="BI53" s="35">
        <f t="shared" si="135"/>
        <v>0.216</v>
      </c>
      <c r="BJ53" s="238">
        <f t="shared" si="115"/>
        <v>0.223</v>
      </c>
      <c r="BK53" s="238">
        <f t="shared" si="41"/>
        <v>0.187</v>
      </c>
      <c r="BL53" s="238">
        <f t="shared" si="42"/>
        <v>0.19400000000000001</v>
      </c>
      <c r="BM53" s="195">
        <f t="shared" si="116"/>
        <v>0.19717042626635631</v>
      </c>
      <c r="BN53" s="254">
        <f t="shared" si="136"/>
        <v>0.22700000000000001</v>
      </c>
      <c r="BO53" s="35">
        <f t="shared" si="137"/>
        <v>0.215</v>
      </c>
      <c r="BP53" s="35">
        <f t="shared" si="138"/>
        <v>0.216</v>
      </c>
      <c r="BQ53" s="238">
        <f t="shared" si="139"/>
        <v>0.17599999999999999</v>
      </c>
      <c r="BR53" s="195">
        <f t="shared" si="140"/>
        <v>0.21131162249730001</v>
      </c>
    </row>
    <row r="54" spans="1:70" x14ac:dyDescent="0.25">
      <c r="A54" s="192" t="s">
        <v>434</v>
      </c>
      <c r="B54" s="35">
        <v>3.7999999999999999E-2</v>
      </c>
      <c r="C54" s="35">
        <v>0.13200000000000001</v>
      </c>
      <c r="D54" s="35">
        <v>9.8000000000000004E-2</v>
      </c>
      <c r="E54" s="35">
        <v>0.21099999999999999</v>
      </c>
      <c r="F54" s="35">
        <v>0.14699999999999999</v>
      </c>
      <c r="G54" s="35">
        <v>0.14899999999999999</v>
      </c>
      <c r="H54" s="35">
        <v>0.06</v>
      </c>
      <c r="I54" s="35">
        <v>0.16600000000000001</v>
      </c>
      <c r="J54" s="35">
        <v>0.10299999999999999</v>
      </c>
      <c r="K54" s="35">
        <v>0.104</v>
      </c>
      <c r="L54" s="35">
        <v>7.9000000000000001E-2</v>
      </c>
      <c r="M54" s="35">
        <v>0.16</v>
      </c>
      <c r="N54" s="35">
        <v>0.16200000000000001</v>
      </c>
      <c r="O54" s="35">
        <v>0.224</v>
      </c>
      <c r="P54" s="315">
        <v>0.104</v>
      </c>
      <c r="Q54" s="315">
        <v>0.27300000000000002</v>
      </c>
      <c r="R54" s="194">
        <v>0.109</v>
      </c>
      <c r="S54" s="35">
        <v>0.129</v>
      </c>
      <c r="T54" s="35">
        <v>0.20300000000000001</v>
      </c>
      <c r="U54" s="35">
        <v>0.316</v>
      </c>
      <c r="V54" s="317">
        <v>8.1000000000000003E-2</v>
      </c>
      <c r="W54" s="198">
        <f t="shared" si="97"/>
        <v>0.13738858435846771</v>
      </c>
      <c r="X54" s="245">
        <f t="shared" si="119"/>
        <v>3.7999999999999999E-2</v>
      </c>
      <c r="Y54" s="35">
        <f t="shared" si="120"/>
        <v>0.21099999999999999</v>
      </c>
      <c r="Z54" s="35">
        <f t="shared" si="10"/>
        <v>0.14699999999999999</v>
      </c>
      <c r="AA54" s="35">
        <f t="shared" si="11"/>
        <v>0.14899999999999999</v>
      </c>
      <c r="AB54" s="35">
        <f t="shared" si="12"/>
        <v>0.06</v>
      </c>
      <c r="AC54" s="35">
        <f t="shared" si="13"/>
        <v>0.16600000000000001</v>
      </c>
      <c r="AD54" s="35">
        <f t="shared" si="98"/>
        <v>0.10299999999999999</v>
      </c>
      <c r="AE54" s="35">
        <f t="shared" si="121"/>
        <v>0.104</v>
      </c>
      <c r="AF54" s="35">
        <f t="shared" si="100"/>
        <v>0.104</v>
      </c>
      <c r="AG54" s="35">
        <f t="shared" si="17"/>
        <v>0.27300000000000002</v>
      </c>
      <c r="AH54" s="194">
        <f t="shared" si="18"/>
        <v>0.109</v>
      </c>
      <c r="AI54" s="238">
        <f t="shared" si="101"/>
        <v>0.12669837487693869</v>
      </c>
      <c r="AJ54" s="245">
        <f t="shared" si="122"/>
        <v>3.7999999999999999E-2</v>
      </c>
      <c r="AK54" s="35">
        <f t="shared" si="123"/>
        <v>0.21099999999999999</v>
      </c>
      <c r="AL54" s="35">
        <f t="shared" si="102"/>
        <v>0.10299999999999999</v>
      </c>
      <c r="AM54" s="35">
        <f t="shared" si="124"/>
        <v>0.104</v>
      </c>
      <c r="AN54" s="35">
        <f t="shared" si="104"/>
        <v>0.104</v>
      </c>
      <c r="AO54" s="35">
        <f t="shared" si="105"/>
        <v>0.129</v>
      </c>
      <c r="AP54" s="195">
        <f t="shared" si="106"/>
        <v>0.11447938769917396</v>
      </c>
      <c r="AQ54" s="254">
        <f t="shared" si="125"/>
        <v>3.7999999999999999E-2</v>
      </c>
      <c r="AR54" s="35">
        <f t="shared" si="126"/>
        <v>9.8000000000000004E-2</v>
      </c>
      <c r="AS54" s="35">
        <f t="shared" si="127"/>
        <v>7.9000000000000001E-2</v>
      </c>
      <c r="AT54" s="35">
        <f t="shared" si="107"/>
        <v>0.224</v>
      </c>
      <c r="AU54" s="35">
        <f t="shared" si="108"/>
        <v>0.129</v>
      </c>
      <c r="AV54" s="195">
        <f t="shared" si="117"/>
        <v>0.10334863567162431</v>
      </c>
      <c r="AW54" s="254">
        <f t="shared" si="128"/>
        <v>0.13200000000000001</v>
      </c>
      <c r="AX54" s="35">
        <f t="shared" si="129"/>
        <v>9.8000000000000004E-2</v>
      </c>
      <c r="AY54" s="35">
        <f t="shared" si="130"/>
        <v>7.9000000000000001E-2</v>
      </c>
      <c r="AZ54" s="238">
        <f t="shared" si="131"/>
        <v>0.224</v>
      </c>
      <c r="BA54" s="238">
        <f t="shared" si="109"/>
        <v>0.20300000000000001</v>
      </c>
      <c r="BB54" s="195">
        <f t="shared" si="118"/>
        <v>0.14267792081612826</v>
      </c>
      <c r="BC54" s="245">
        <f t="shared" si="132"/>
        <v>0.13200000000000001</v>
      </c>
      <c r="BD54" s="35">
        <f t="shared" si="133"/>
        <v>7.9000000000000001E-2</v>
      </c>
      <c r="BE54" s="238">
        <f t="shared" si="110"/>
        <v>0.20300000000000001</v>
      </c>
      <c r="BF54" s="238">
        <f t="shared" si="111"/>
        <v>0.14406209850107066</v>
      </c>
      <c r="BG54" s="241">
        <f t="shared" si="112"/>
        <v>7.9000000000000001E-2</v>
      </c>
      <c r="BH54" s="194">
        <f t="shared" si="134"/>
        <v>0.16</v>
      </c>
      <c r="BI54" s="35">
        <f t="shared" si="135"/>
        <v>0.16200000000000001</v>
      </c>
      <c r="BJ54" s="238">
        <f t="shared" si="115"/>
        <v>0.20300000000000001</v>
      </c>
      <c r="BK54" s="238">
        <f t="shared" si="41"/>
        <v>0.316</v>
      </c>
      <c r="BL54" s="238">
        <f t="shared" si="42"/>
        <v>8.1000000000000003E-2</v>
      </c>
      <c r="BM54" s="195">
        <f t="shared" si="116"/>
        <v>0.20317572449225335</v>
      </c>
      <c r="BN54" s="254">
        <f t="shared" si="136"/>
        <v>0.13200000000000001</v>
      </c>
      <c r="BO54" s="35">
        <f t="shared" si="137"/>
        <v>9.8000000000000004E-2</v>
      </c>
      <c r="BP54" s="35">
        <f t="shared" si="138"/>
        <v>0.16200000000000001</v>
      </c>
      <c r="BQ54" s="238">
        <f t="shared" si="139"/>
        <v>0.224</v>
      </c>
      <c r="BR54" s="195">
        <f t="shared" si="140"/>
        <v>0.14846938605964943</v>
      </c>
    </row>
    <row r="55" spans="1:70" x14ac:dyDescent="0.25">
      <c r="A55" s="192" t="s">
        <v>435</v>
      </c>
      <c r="B55" s="35">
        <v>1.6E-2</v>
      </c>
      <c r="C55" s="35">
        <v>2.7E-2</v>
      </c>
      <c r="D55" s="35">
        <v>2.1999999999999999E-2</v>
      </c>
      <c r="E55" s="35">
        <v>1.7999999999999999E-2</v>
      </c>
      <c r="F55" s="35">
        <v>2.5999999999999999E-2</v>
      </c>
      <c r="G55" s="35">
        <v>3.5999999999999997E-2</v>
      </c>
      <c r="H55" s="35">
        <v>7.6999999999999999E-2</v>
      </c>
      <c r="I55" s="35">
        <v>1.6E-2</v>
      </c>
      <c r="J55" s="35">
        <v>1.4E-2</v>
      </c>
      <c r="K55" s="35">
        <v>3.5999999999999997E-2</v>
      </c>
      <c r="L55" s="35">
        <v>3.6999999999999998E-2</v>
      </c>
      <c r="M55" s="35">
        <v>2.5999999999999999E-2</v>
      </c>
      <c r="N55" s="35">
        <v>0.104</v>
      </c>
      <c r="O55" s="35">
        <v>1.4999999999999999E-2</v>
      </c>
      <c r="P55" s="315">
        <v>1.4E-2</v>
      </c>
      <c r="Q55" s="315">
        <v>0.03</v>
      </c>
      <c r="R55" s="194">
        <v>2.1000000000000001E-2</v>
      </c>
      <c r="S55" s="35">
        <v>4.2000000000000003E-2</v>
      </c>
      <c r="T55" s="35">
        <v>4.4999999999999998E-2</v>
      </c>
      <c r="U55" s="35">
        <v>5.0999999999999997E-2</v>
      </c>
      <c r="V55" s="317">
        <v>8.8999999999999996E-2</v>
      </c>
      <c r="W55" s="198">
        <f t="shared" si="97"/>
        <v>3.8701223787366942E-2</v>
      </c>
      <c r="X55" s="245">
        <f t="shared" si="119"/>
        <v>1.6E-2</v>
      </c>
      <c r="Y55" s="35">
        <f t="shared" si="120"/>
        <v>1.7999999999999999E-2</v>
      </c>
      <c r="Z55" s="35">
        <f t="shared" si="10"/>
        <v>2.5999999999999999E-2</v>
      </c>
      <c r="AA55" s="35">
        <f t="shared" si="11"/>
        <v>3.5999999999999997E-2</v>
      </c>
      <c r="AB55" s="35">
        <f t="shared" si="12"/>
        <v>7.6999999999999999E-2</v>
      </c>
      <c r="AC55" s="35">
        <f t="shared" si="13"/>
        <v>1.6E-2</v>
      </c>
      <c r="AD55" s="35">
        <f t="shared" si="98"/>
        <v>1.4E-2</v>
      </c>
      <c r="AE55" s="35">
        <f t="shared" si="121"/>
        <v>3.5999999999999997E-2</v>
      </c>
      <c r="AF55" s="35">
        <f t="shared" si="100"/>
        <v>1.4E-2</v>
      </c>
      <c r="AG55" s="35">
        <f t="shared" si="17"/>
        <v>0.03</v>
      </c>
      <c r="AH55" s="194">
        <f t="shared" si="18"/>
        <v>2.1000000000000001E-2</v>
      </c>
      <c r="AI55" s="238">
        <f t="shared" si="101"/>
        <v>3.5469801817740808E-2</v>
      </c>
      <c r="AJ55" s="245">
        <f t="shared" si="122"/>
        <v>1.6E-2</v>
      </c>
      <c r="AK55" s="35">
        <f t="shared" si="123"/>
        <v>1.7999999999999999E-2</v>
      </c>
      <c r="AL55" s="35">
        <f t="shared" si="102"/>
        <v>1.4E-2</v>
      </c>
      <c r="AM55" s="35">
        <f t="shared" si="124"/>
        <v>3.5999999999999997E-2</v>
      </c>
      <c r="AN55" s="35">
        <f t="shared" si="104"/>
        <v>1.4E-2</v>
      </c>
      <c r="AO55" s="35">
        <f t="shared" si="105"/>
        <v>4.2000000000000003E-2</v>
      </c>
      <c r="AP55" s="195">
        <f t="shared" si="106"/>
        <v>2.5716556395098462E-2</v>
      </c>
      <c r="AQ55" s="254">
        <f t="shared" si="125"/>
        <v>1.6E-2</v>
      </c>
      <c r="AR55" s="35">
        <f t="shared" si="126"/>
        <v>2.1999999999999999E-2</v>
      </c>
      <c r="AS55" s="35">
        <f t="shared" si="127"/>
        <v>3.6999999999999998E-2</v>
      </c>
      <c r="AT55" s="35">
        <f t="shared" si="107"/>
        <v>1.4999999999999999E-2</v>
      </c>
      <c r="AU55" s="35">
        <f t="shared" si="108"/>
        <v>4.2000000000000003E-2</v>
      </c>
      <c r="AV55" s="195">
        <f t="shared" si="117"/>
        <v>2.8800562126712729E-2</v>
      </c>
      <c r="AW55" s="254">
        <f t="shared" si="128"/>
        <v>2.7E-2</v>
      </c>
      <c r="AX55" s="35">
        <f t="shared" si="129"/>
        <v>2.1999999999999999E-2</v>
      </c>
      <c r="AY55" s="35">
        <f t="shared" si="130"/>
        <v>3.6999999999999998E-2</v>
      </c>
      <c r="AZ55" s="238">
        <f t="shared" si="131"/>
        <v>1.4999999999999999E-2</v>
      </c>
      <c r="BA55" s="238">
        <f t="shared" si="109"/>
        <v>4.4999999999999998E-2</v>
      </c>
      <c r="BB55" s="195">
        <f>((AW55*$AW$36)+(AX55*$AX$36)+(AY55*$AY$36)+(AZ55*$AZ$36)+(BA55*$BA$36))/$BB$36</f>
        <v>3.1841510808841386E-2</v>
      </c>
      <c r="BC55" s="245">
        <f t="shared" si="132"/>
        <v>2.7E-2</v>
      </c>
      <c r="BD55" s="35">
        <f t="shared" si="133"/>
        <v>3.6999999999999998E-2</v>
      </c>
      <c r="BE55" s="238">
        <f t="shared" si="110"/>
        <v>4.4999999999999998E-2</v>
      </c>
      <c r="BF55" s="238">
        <f t="shared" si="111"/>
        <v>3.7548179871520343E-2</v>
      </c>
      <c r="BG55" s="241">
        <f t="shared" si="112"/>
        <v>3.6999999999999998E-2</v>
      </c>
      <c r="BH55" s="194">
        <f t="shared" si="134"/>
        <v>2.5999999999999999E-2</v>
      </c>
      <c r="BI55" s="35">
        <f t="shared" si="135"/>
        <v>0.104</v>
      </c>
      <c r="BJ55" s="238">
        <f t="shared" si="115"/>
        <v>4.4999999999999998E-2</v>
      </c>
      <c r="BK55" s="238">
        <f t="shared" si="41"/>
        <v>5.0999999999999997E-2</v>
      </c>
      <c r="BL55" s="238">
        <f t="shared" si="42"/>
        <v>8.8999999999999996E-2</v>
      </c>
      <c r="BM55" s="195">
        <f t="shared" si="116"/>
        <v>5.9390864574135026E-2</v>
      </c>
      <c r="BN55" s="254">
        <f t="shared" si="136"/>
        <v>2.7E-2</v>
      </c>
      <c r="BO55" s="35">
        <f t="shared" si="137"/>
        <v>2.1999999999999999E-2</v>
      </c>
      <c r="BP55" s="35">
        <f t="shared" si="138"/>
        <v>0.104</v>
      </c>
      <c r="BQ55" s="238">
        <f t="shared" si="139"/>
        <v>1.4999999999999999E-2</v>
      </c>
      <c r="BR55" s="195">
        <f t="shared" si="140"/>
        <v>5.7405167400515079E-2</v>
      </c>
    </row>
    <row r="56" spans="1:70" x14ac:dyDescent="0.25">
      <c r="A56" s="192" t="s">
        <v>436</v>
      </c>
      <c r="B56" s="35">
        <v>2.1999999999999999E-2</v>
      </c>
      <c r="C56" s="35">
        <v>5.0999999999999997E-2</v>
      </c>
      <c r="D56" s="35">
        <v>6.9000000000000006E-2</v>
      </c>
      <c r="E56" s="35">
        <v>0.14199999999999999</v>
      </c>
      <c r="F56" s="35">
        <v>0.111</v>
      </c>
      <c r="G56" s="35">
        <v>5.6000000000000001E-2</v>
      </c>
      <c r="H56" s="35">
        <v>6.4000000000000001E-2</v>
      </c>
      <c r="I56" s="35">
        <v>0.107</v>
      </c>
      <c r="J56" s="35">
        <v>6.4000000000000001E-2</v>
      </c>
      <c r="K56" s="35">
        <v>8.9999999999999993E-3</v>
      </c>
      <c r="L56" s="35">
        <v>0.1</v>
      </c>
      <c r="M56" s="35">
        <v>0.13300000000000001</v>
      </c>
      <c r="N56" s="35">
        <v>0.11</v>
      </c>
      <c r="O56" s="35">
        <v>8.6999999999999994E-2</v>
      </c>
      <c r="P56" s="315">
        <v>2.5999999999999999E-2</v>
      </c>
      <c r="Q56" s="315">
        <v>3.9E-2</v>
      </c>
      <c r="R56" s="194">
        <v>0.23400000000000001</v>
      </c>
      <c r="S56" s="35">
        <v>7.2999999999999995E-2</v>
      </c>
      <c r="T56" s="35">
        <v>7.5999999999999998E-2</v>
      </c>
      <c r="U56" s="35">
        <v>8.4000000000000005E-2</v>
      </c>
      <c r="V56" s="317">
        <v>7.0000000000000007E-2</v>
      </c>
      <c r="W56" s="198">
        <f t="shared" si="97"/>
        <v>6.8557014468736049E-2</v>
      </c>
      <c r="X56" s="245">
        <f t="shared" si="119"/>
        <v>2.1999999999999999E-2</v>
      </c>
      <c r="Y56" s="35">
        <f t="shared" si="120"/>
        <v>0.14199999999999999</v>
      </c>
      <c r="Z56" s="35">
        <f t="shared" si="10"/>
        <v>0.111</v>
      </c>
      <c r="AA56" s="35">
        <f t="shared" si="11"/>
        <v>5.6000000000000001E-2</v>
      </c>
      <c r="AB56" s="35">
        <f t="shared" si="12"/>
        <v>6.4000000000000001E-2</v>
      </c>
      <c r="AC56" s="35">
        <f t="shared" si="13"/>
        <v>0.107</v>
      </c>
      <c r="AD56" s="35">
        <f t="shared" si="98"/>
        <v>6.4000000000000001E-2</v>
      </c>
      <c r="AE56" s="35">
        <f t="shared" si="121"/>
        <v>8.9999999999999993E-3</v>
      </c>
      <c r="AF56" s="35">
        <f t="shared" si="100"/>
        <v>2.5999999999999999E-2</v>
      </c>
      <c r="AG56" s="35">
        <f t="shared" si="17"/>
        <v>3.9E-2</v>
      </c>
      <c r="AH56" s="194">
        <f t="shared" si="18"/>
        <v>0.23400000000000001</v>
      </c>
      <c r="AI56" s="238">
        <f t="shared" si="101"/>
        <v>8.1446630616234111E-2</v>
      </c>
      <c r="AJ56" s="245">
        <f t="shared" si="122"/>
        <v>2.1999999999999999E-2</v>
      </c>
      <c r="AK56" s="35">
        <f t="shared" si="123"/>
        <v>0.14199999999999999</v>
      </c>
      <c r="AL56" s="35">
        <f t="shared" si="102"/>
        <v>6.4000000000000001E-2</v>
      </c>
      <c r="AM56" s="35">
        <f t="shared" si="124"/>
        <v>8.9999999999999993E-3</v>
      </c>
      <c r="AN56" s="35">
        <f t="shared" si="104"/>
        <v>2.5999999999999999E-2</v>
      </c>
      <c r="AO56" s="35">
        <f t="shared" si="105"/>
        <v>7.2999999999999995E-2</v>
      </c>
      <c r="AP56" s="195">
        <f t="shared" si="106"/>
        <v>5.1755001370238425E-2</v>
      </c>
      <c r="AQ56" s="254">
        <f t="shared" si="125"/>
        <v>2.1999999999999999E-2</v>
      </c>
      <c r="AR56" s="35">
        <f t="shared" si="126"/>
        <v>6.9000000000000006E-2</v>
      </c>
      <c r="AS56" s="35">
        <f t="shared" si="127"/>
        <v>0.1</v>
      </c>
      <c r="AT56" s="35">
        <f t="shared" si="107"/>
        <v>8.6999999999999994E-2</v>
      </c>
      <c r="AU56" s="35">
        <f t="shared" si="108"/>
        <v>7.2999999999999995E-2</v>
      </c>
      <c r="AV56" s="195">
        <f t="shared" si="117"/>
        <v>6.8916617870945066E-2</v>
      </c>
      <c r="AW56" s="254">
        <f t="shared" si="128"/>
        <v>5.0999999999999997E-2</v>
      </c>
      <c r="AX56" s="35">
        <f t="shared" si="129"/>
        <v>6.9000000000000006E-2</v>
      </c>
      <c r="AY56" s="35">
        <f t="shared" si="130"/>
        <v>0.1</v>
      </c>
      <c r="AZ56" s="238">
        <f t="shared" si="131"/>
        <v>8.6999999999999994E-2</v>
      </c>
      <c r="BA56" s="238">
        <f t="shared" si="109"/>
        <v>7.5999999999999998E-2</v>
      </c>
      <c r="BB56" s="195">
        <f t="shared" si="118"/>
        <v>7.6261355355841637E-2</v>
      </c>
      <c r="BC56" s="245">
        <f t="shared" si="132"/>
        <v>5.0999999999999997E-2</v>
      </c>
      <c r="BD56" s="35">
        <f t="shared" si="133"/>
        <v>0.1</v>
      </c>
      <c r="BE56" s="238">
        <f t="shared" si="110"/>
        <v>7.5999999999999998E-2</v>
      </c>
      <c r="BF56" s="238">
        <f t="shared" si="111"/>
        <v>7.6871520342612423E-2</v>
      </c>
      <c r="BG56" s="241">
        <f t="shared" si="112"/>
        <v>0.1</v>
      </c>
      <c r="BH56" s="194">
        <f t="shared" si="134"/>
        <v>0.13300000000000001</v>
      </c>
      <c r="BI56" s="35">
        <f t="shared" si="135"/>
        <v>0.11</v>
      </c>
      <c r="BJ56" s="238">
        <f t="shared" si="115"/>
        <v>7.5999999999999998E-2</v>
      </c>
      <c r="BK56" s="238">
        <f t="shared" si="41"/>
        <v>8.4000000000000005E-2</v>
      </c>
      <c r="BL56" s="238">
        <f t="shared" si="42"/>
        <v>7.0000000000000007E-2</v>
      </c>
      <c r="BM56" s="195">
        <f t="shared" si="116"/>
        <v>9.1702336035963714E-2</v>
      </c>
      <c r="BN56" s="254">
        <f t="shared" si="136"/>
        <v>5.0999999999999997E-2</v>
      </c>
      <c r="BO56" s="35">
        <f t="shared" si="137"/>
        <v>6.9000000000000006E-2</v>
      </c>
      <c r="BP56" s="35">
        <f t="shared" si="138"/>
        <v>0.11</v>
      </c>
      <c r="BQ56" s="238">
        <f t="shared" si="139"/>
        <v>8.6999999999999994E-2</v>
      </c>
      <c r="BR56" s="195">
        <f t="shared" si="140"/>
        <v>8.7218576057157104E-2</v>
      </c>
    </row>
    <row r="57" spans="1:70" x14ac:dyDescent="0.25">
      <c r="A57" s="192" t="s">
        <v>437</v>
      </c>
      <c r="B57" s="35">
        <v>1.4E-2</v>
      </c>
      <c r="C57" s="35">
        <v>7.0000000000000001E-3</v>
      </c>
      <c r="D57" s="35">
        <v>3.5999999999999997E-2</v>
      </c>
      <c r="E57" s="35">
        <v>3.1E-2</v>
      </c>
      <c r="F57" s="35">
        <v>2.5999999999999999E-2</v>
      </c>
      <c r="G57" s="35">
        <v>1.0999999999999999E-2</v>
      </c>
      <c r="H57" s="35">
        <v>5.8000000000000003E-2</v>
      </c>
      <c r="I57" s="35">
        <v>1.2999999999999999E-2</v>
      </c>
      <c r="J57" s="35">
        <v>1.2E-2</v>
      </c>
      <c r="K57" s="35">
        <v>3.0000000000000001E-3</v>
      </c>
      <c r="L57" s="35">
        <v>1.7000000000000001E-2</v>
      </c>
      <c r="M57" s="35">
        <v>1.6E-2</v>
      </c>
      <c r="N57" s="35">
        <v>5.0000000000000001E-3</v>
      </c>
      <c r="O57" s="35">
        <v>2.7E-2</v>
      </c>
      <c r="P57" s="315">
        <v>4.7E-2</v>
      </c>
      <c r="Q57" s="315">
        <v>4.1000000000000002E-2</v>
      </c>
      <c r="R57" s="194">
        <v>2.1000000000000001E-2</v>
      </c>
      <c r="S57" s="35">
        <v>2.3E-2</v>
      </c>
      <c r="T57" s="35">
        <v>3.4000000000000002E-2</v>
      </c>
      <c r="U57" s="35">
        <v>2.5999999999999999E-2</v>
      </c>
      <c r="V57" s="317">
        <v>2.5000000000000001E-2</v>
      </c>
      <c r="W57" s="198">
        <f t="shared" si="97"/>
        <v>2.2817069284211872E-2</v>
      </c>
      <c r="X57" s="245">
        <f t="shared" si="119"/>
        <v>1.4E-2</v>
      </c>
      <c r="Y57" s="35">
        <f t="shared" si="120"/>
        <v>3.1E-2</v>
      </c>
      <c r="Z57" s="35">
        <f t="shared" si="10"/>
        <v>2.5999999999999999E-2</v>
      </c>
      <c r="AA57" s="35">
        <f t="shared" si="11"/>
        <v>1.0999999999999999E-2</v>
      </c>
      <c r="AB57" s="35">
        <f t="shared" si="12"/>
        <v>5.8000000000000003E-2</v>
      </c>
      <c r="AC57" s="35">
        <f t="shared" si="13"/>
        <v>1.2999999999999999E-2</v>
      </c>
      <c r="AD57" s="35">
        <f t="shared" si="98"/>
        <v>1.2E-2</v>
      </c>
      <c r="AE57" s="35">
        <f t="shared" si="121"/>
        <v>3.0000000000000001E-3</v>
      </c>
      <c r="AF57" s="35">
        <f t="shared" si="100"/>
        <v>4.7E-2</v>
      </c>
      <c r="AG57" s="35">
        <f t="shared" si="17"/>
        <v>4.1000000000000002E-2</v>
      </c>
      <c r="AH57" s="194">
        <f t="shared" si="18"/>
        <v>2.1000000000000001E-2</v>
      </c>
      <c r="AI57" s="238">
        <f t="shared" si="101"/>
        <v>2.7236477520795582E-2</v>
      </c>
      <c r="AJ57" s="245">
        <f t="shared" si="122"/>
        <v>1.4E-2</v>
      </c>
      <c r="AK57" s="35">
        <f t="shared" si="123"/>
        <v>3.1E-2</v>
      </c>
      <c r="AL57" s="35">
        <f t="shared" si="102"/>
        <v>1.2E-2</v>
      </c>
      <c r="AM57" s="35">
        <f t="shared" si="124"/>
        <v>3.0000000000000001E-3</v>
      </c>
      <c r="AN57" s="35">
        <f t="shared" si="104"/>
        <v>4.7E-2</v>
      </c>
      <c r="AO57" s="35">
        <f t="shared" si="105"/>
        <v>2.3E-2</v>
      </c>
      <c r="AP57" s="195">
        <f t="shared" si="106"/>
        <v>1.9222370120972481E-2</v>
      </c>
      <c r="AQ57" s="254">
        <f t="shared" si="125"/>
        <v>1.4E-2</v>
      </c>
      <c r="AR57" s="35">
        <f t="shared" si="126"/>
        <v>3.5999999999999997E-2</v>
      </c>
      <c r="AS57" s="35">
        <f t="shared" si="127"/>
        <v>1.7000000000000001E-2</v>
      </c>
      <c r="AT57" s="35">
        <f t="shared" si="107"/>
        <v>2.7E-2</v>
      </c>
      <c r="AU57" s="35">
        <f t="shared" si="108"/>
        <v>2.3E-2</v>
      </c>
      <c r="AV57" s="195">
        <f t="shared" si="117"/>
        <v>2.3000936877854549E-2</v>
      </c>
      <c r="AW57" s="254">
        <f t="shared" si="128"/>
        <v>7.0000000000000001E-3</v>
      </c>
      <c r="AX57" s="35">
        <f t="shared" si="129"/>
        <v>3.5999999999999997E-2</v>
      </c>
      <c r="AY57" s="35">
        <f t="shared" si="130"/>
        <v>1.7000000000000001E-2</v>
      </c>
      <c r="AZ57" s="238">
        <f t="shared" si="131"/>
        <v>2.7E-2</v>
      </c>
      <c r="BA57" s="238">
        <f t="shared" si="109"/>
        <v>3.4000000000000002E-2</v>
      </c>
      <c r="BB57" s="195">
        <f t="shared" si="118"/>
        <v>2.4991741559387902E-2</v>
      </c>
      <c r="BC57" s="245">
        <f t="shared" si="132"/>
        <v>7.0000000000000001E-3</v>
      </c>
      <c r="BD57" s="35">
        <f t="shared" si="133"/>
        <v>1.7000000000000001E-2</v>
      </c>
      <c r="BE57" s="238">
        <f t="shared" si="110"/>
        <v>3.4000000000000002E-2</v>
      </c>
      <c r="BF57" s="238">
        <f t="shared" si="111"/>
        <v>2.1224304068522486E-2</v>
      </c>
      <c r="BG57" s="241">
        <f t="shared" si="112"/>
        <v>1.7000000000000001E-2</v>
      </c>
      <c r="BH57" s="194">
        <f t="shared" si="134"/>
        <v>1.6E-2</v>
      </c>
      <c r="BI57" s="35">
        <f t="shared" si="135"/>
        <v>5.0000000000000001E-3</v>
      </c>
      <c r="BJ57" s="238">
        <f t="shared" si="115"/>
        <v>3.4000000000000002E-2</v>
      </c>
      <c r="BK57" s="238">
        <f t="shared" si="41"/>
        <v>2.5999999999999999E-2</v>
      </c>
      <c r="BL57" s="238">
        <f t="shared" si="42"/>
        <v>2.5000000000000001E-2</v>
      </c>
      <c r="BM57" s="195">
        <f t="shared" si="116"/>
        <v>2.1852372160231198E-2</v>
      </c>
      <c r="BN57" s="254">
        <f t="shared" si="136"/>
        <v>7.0000000000000001E-3</v>
      </c>
      <c r="BO57" s="35">
        <f t="shared" si="137"/>
        <v>3.5999999999999997E-2</v>
      </c>
      <c r="BP57" s="35">
        <f t="shared" si="138"/>
        <v>5.0000000000000001E-3</v>
      </c>
      <c r="BQ57" s="238">
        <f t="shared" si="139"/>
        <v>2.7E-2</v>
      </c>
      <c r="BR57" s="195">
        <f t="shared" si="140"/>
        <v>1.7497299991692285E-2</v>
      </c>
    </row>
    <row r="58" spans="1:70" x14ac:dyDescent="0.25">
      <c r="A58" s="192" t="s">
        <v>438</v>
      </c>
      <c r="B58" s="35">
        <v>2.1000000000000001E-2</v>
      </c>
      <c r="C58" s="35">
        <v>2.1999999999999999E-2</v>
      </c>
      <c r="D58" s="35">
        <v>2.7E-2</v>
      </c>
      <c r="E58" s="35">
        <v>1.7000000000000001E-2</v>
      </c>
      <c r="F58" s="35">
        <v>8.9999999999999993E-3</v>
      </c>
      <c r="G58" s="35">
        <v>0.03</v>
      </c>
      <c r="H58" s="35">
        <v>5.0000000000000001E-3</v>
      </c>
      <c r="I58" s="35">
        <v>2.3E-2</v>
      </c>
      <c r="J58" s="35">
        <v>0</v>
      </c>
      <c r="K58" s="35">
        <v>5.0000000000000001E-3</v>
      </c>
      <c r="L58" s="35">
        <v>0</v>
      </c>
      <c r="M58" s="35">
        <v>3.5999999999999997E-2</v>
      </c>
      <c r="N58" s="35">
        <v>0.01</v>
      </c>
      <c r="O58" s="35">
        <v>1.7999999999999999E-2</v>
      </c>
      <c r="P58" s="315">
        <v>0</v>
      </c>
      <c r="Q58" s="315">
        <v>4.0000000000000001E-3</v>
      </c>
      <c r="R58" s="194">
        <v>7.0000000000000007E-2</v>
      </c>
      <c r="S58" s="35">
        <v>2.3E-2</v>
      </c>
      <c r="T58" s="35">
        <v>3.4000000000000002E-2</v>
      </c>
      <c r="U58" s="35">
        <v>6.0999999999999999E-2</v>
      </c>
      <c r="V58" s="317">
        <v>2.1999999999999999E-2</v>
      </c>
      <c r="W58" s="198">
        <f t="shared" si="97"/>
        <v>1.8348428835489837E-2</v>
      </c>
      <c r="X58" s="245">
        <f t="shared" si="119"/>
        <v>2.1000000000000001E-2</v>
      </c>
      <c r="Y58" s="35">
        <f t="shared" si="120"/>
        <v>1.7000000000000001E-2</v>
      </c>
      <c r="Z58" s="35">
        <f t="shared" si="10"/>
        <v>8.9999999999999993E-3</v>
      </c>
      <c r="AA58" s="35">
        <f t="shared" si="11"/>
        <v>0.03</v>
      </c>
      <c r="AB58" s="35">
        <f t="shared" si="12"/>
        <v>5.0000000000000001E-3</v>
      </c>
      <c r="AC58" s="35">
        <f t="shared" si="13"/>
        <v>2.3E-2</v>
      </c>
      <c r="AD58" s="35">
        <f t="shared" si="98"/>
        <v>0</v>
      </c>
      <c r="AE58" s="35">
        <f t="shared" si="121"/>
        <v>5.0000000000000001E-3</v>
      </c>
      <c r="AF58" s="35">
        <f t="shared" si="100"/>
        <v>0</v>
      </c>
      <c r="AG58" s="35">
        <f t="shared" si="17"/>
        <v>4.0000000000000001E-3</v>
      </c>
      <c r="AH58" s="194">
        <f t="shared" si="18"/>
        <v>7.0000000000000007E-2</v>
      </c>
      <c r="AI58" s="238">
        <f t="shared" si="101"/>
        <v>1.8945410703839517E-2</v>
      </c>
      <c r="AJ58" s="245">
        <f t="shared" si="122"/>
        <v>2.1000000000000001E-2</v>
      </c>
      <c r="AK58" s="35">
        <f t="shared" si="123"/>
        <v>1.7000000000000001E-2</v>
      </c>
      <c r="AL58" s="35">
        <f t="shared" si="102"/>
        <v>0</v>
      </c>
      <c r="AM58" s="35">
        <f t="shared" si="124"/>
        <v>5.0000000000000001E-3</v>
      </c>
      <c r="AN58" s="35">
        <f t="shared" si="104"/>
        <v>0</v>
      </c>
      <c r="AO58" s="35">
        <f t="shared" si="105"/>
        <v>2.3E-2</v>
      </c>
      <c r="AP58" s="195">
        <f t="shared" si="106"/>
        <v>1.080072818384685E-2</v>
      </c>
      <c r="AQ58" s="254">
        <f t="shared" si="125"/>
        <v>2.1000000000000001E-2</v>
      </c>
      <c r="AR58" s="35">
        <f t="shared" si="126"/>
        <v>2.7E-2</v>
      </c>
      <c r="AS58" s="35">
        <f t="shared" si="127"/>
        <v>0</v>
      </c>
      <c r="AT58" s="35">
        <f t="shared" si="107"/>
        <v>1.7999999999999999E-2</v>
      </c>
      <c r="AU58" s="35">
        <f t="shared" si="108"/>
        <v>2.3E-2</v>
      </c>
      <c r="AV58" s="195">
        <f t="shared" si="117"/>
        <v>1.8083967677714016E-2</v>
      </c>
      <c r="AW58" s="254">
        <f t="shared" si="128"/>
        <v>2.1999999999999999E-2</v>
      </c>
      <c r="AX58" s="35">
        <f t="shared" si="129"/>
        <v>2.7E-2</v>
      </c>
      <c r="AY58" s="35">
        <f t="shared" si="130"/>
        <v>0</v>
      </c>
      <c r="AZ58" s="238">
        <f t="shared" si="131"/>
        <v>1.7999999999999999E-2</v>
      </c>
      <c r="BA58" s="238">
        <f t="shared" si="109"/>
        <v>3.4000000000000002E-2</v>
      </c>
      <c r="BB58" s="195">
        <f t="shared" si="118"/>
        <v>2.1195652173913043E-2</v>
      </c>
      <c r="BC58" s="245">
        <f t="shared" si="132"/>
        <v>2.1999999999999999E-2</v>
      </c>
      <c r="BD58" s="35">
        <f t="shared" si="133"/>
        <v>0</v>
      </c>
      <c r="BE58" s="238">
        <f t="shared" si="110"/>
        <v>3.4000000000000002E-2</v>
      </c>
      <c r="BF58" s="238">
        <f t="shared" si="111"/>
        <v>1.9870449678800858E-2</v>
      </c>
      <c r="BG58" s="241">
        <f t="shared" si="112"/>
        <v>0</v>
      </c>
      <c r="BH58" s="194">
        <f t="shared" si="134"/>
        <v>3.5999999999999997E-2</v>
      </c>
      <c r="BI58" s="35">
        <f t="shared" si="135"/>
        <v>0.01</v>
      </c>
      <c r="BJ58" s="238">
        <f t="shared" si="115"/>
        <v>3.4000000000000002E-2</v>
      </c>
      <c r="BK58" s="238">
        <f t="shared" si="41"/>
        <v>6.0999999999999999E-2</v>
      </c>
      <c r="BL58" s="238">
        <f t="shared" si="42"/>
        <v>2.1999999999999999E-2</v>
      </c>
      <c r="BM58" s="195">
        <f t="shared" si="116"/>
        <v>3.5715501324556476E-2</v>
      </c>
      <c r="BN58" s="254">
        <f t="shared" si="136"/>
        <v>2.1999999999999999E-2</v>
      </c>
      <c r="BO58" s="35">
        <f t="shared" si="137"/>
        <v>2.7E-2</v>
      </c>
      <c r="BP58" s="35">
        <f t="shared" si="138"/>
        <v>0.01</v>
      </c>
      <c r="BQ58" s="238">
        <f t="shared" si="139"/>
        <v>1.7999999999999999E-2</v>
      </c>
      <c r="BR58" s="195">
        <f t="shared" si="140"/>
        <v>1.7645592755670018E-2</v>
      </c>
    </row>
    <row r="59" spans="1:70" x14ac:dyDescent="0.25">
      <c r="A59" s="192" t="s">
        <v>439</v>
      </c>
      <c r="B59" s="35">
        <v>5.8999999999999997E-2</v>
      </c>
      <c r="C59" s="35">
        <v>9.5000000000000001E-2</v>
      </c>
      <c r="D59" s="35">
        <v>5.7000000000000002E-2</v>
      </c>
      <c r="E59" s="35">
        <v>2.9000000000000001E-2</v>
      </c>
      <c r="F59" s="35">
        <v>3.6999999999999998E-2</v>
      </c>
      <c r="G59" s="35">
        <v>2.9000000000000001E-2</v>
      </c>
      <c r="H59" s="35">
        <v>0</v>
      </c>
      <c r="I59" s="35">
        <v>8.0000000000000002E-3</v>
      </c>
      <c r="J59" s="35">
        <v>4.0000000000000001E-3</v>
      </c>
      <c r="K59" s="35">
        <v>1.7999999999999999E-2</v>
      </c>
      <c r="L59" s="35">
        <v>0</v>
      </c>
      <c r="M59" s="35">
        <v>4.2999999999999997E-2</v>
      </c>
      <c r="N59" s="35">
        <v>6.0000000000000001E-3</v>
      </c>
      <c r="O59" s="35">
        <v>8.1000000000000003E-2</v>
      </c>
      <c r="P59" s="315">
        <v>0.08</v>
      </c>
      <c r="Q59" s="315">
        <v>0</v>
      </c>
      <c r="R59" s="194">
        <v>7.6999999999999999E-2</v>
      </c>
      <c r="S59" s="35">
        <v>4.8000000000000001E-2</v>
      </c>
      <c r="T59" s="35">
        <v>0.02</v>
      </c>
      <c r="U59" s="35">
        <v>5.6000000000000001E-2</v>
      </c>
      <c r="V59" s="317">
        <v>5.7000000000000002E-2</v>
      </c>
      <c r="W59" s="198">
        <f t="shared" si="97"/>
        <v>3.0870514373127669E-2</v>
      </c>
      <c r="X59" s="245">
        <f t="shared" si="119"/>
        <v>5.8999999999999997E-2</v>
      </c>
      <c r="Y59" s="35">
        <f t="shared" si="120"/>
        <v>2.9000000000000001E-2</v>
      </c>
      <c r="Z59" s="35">
        <f t="shared" si="10"/>
        <v>3.6999999999999998E-2</v>
      </c>
      <c r="AA59" s="35">
        <f t="shared" si="11"/>
        <v>2.9000000000000001E-2</v>
      </c>
      <c r="AB59" s="35">
        <f t="shared" si="12"/>
        <v>0</v>
      </c>
      <c r="AC59" s="35">
        <f t="shared" si="13"/>
        <v>8.0000000000000002E-3</v>
      </c>
      <c r="AD59" s="35">
        <f t="shared" si="98"/>
        <v>4.0000000000000001E-3</v>
      </c>
      <c r="AE59" s="35">
        <f t="shared" si="121"/>
        <v>1.7999999999999999E-2</v>
      </c>
      <c r="AF59" s="35">
        <f t="shared" si="100"/>
        <v>0.08</v>
      </c>
      <c r="AG59" s="35">
        <f t="shared" si="17"/>
        <v>0</v>
      </c>
      <c r="AH59" s="194">
        <f t="shared" si="18"/>
        <v>7.6999999999999999E-2</v>
      </c>
      <c r="AI59" s="238">
        <f t="shared" si="101"/>
        <v>2.577643500221154E-2</v>
      </c>
      <c r="AJ59" s="245">
        <f t="shared" si="122"/>
        <v>5.8999999999999997E-2</v>
      </c>
      <c r="AK59" s="35">
        <f t="shared" si="123"/>
        <v>2.9000000000000001E-2</v>
      </c>
      <c r="AL59" s="35">
        <f t="shared" si="102"/>
        <v>4.0000000000000001E-3</v>
      </c>
      <c r="AM59" s="35">
        <f t="shared" si="124"/>
        <v>1.7999999999999999E-2</v>
      </c>
      <c r="AN59" s="35">
        <f t="shared" si="104"/>
        <v>0.08</v>
      </c>
      <c r="AO59" s="35">
        <f t="shared" si="105"/>
        <v>4.8000000000000001E-2</v>
      </c>
      <c r="AP59" s="195">
        <f t="shared" si="106"/>
        <v>3.6674118153701599E-2</v>
      </c>
      <c r="AQ59" s="254">
        <f t="shared" si="125"/>
        <v>5.8999999999999997E-2</v>
      </c>
      <c r="AR59" s="35">
        <f t="shared" si="126"/>
        <v>5.7000000000000002E-2</v>
      </c>
      <c r="AS59" s="35">
        <f t="shared" si="127"/>
        <v>0</v>
      </c>
      <c r="AT59" s="35">
        <f t="shared" si="107"/>
        <v>8.1000000000000003E-2</v>
      </c>
      <c r="AU59" s="35">
        <f t="shared" si="108"/>
        <v>4.8000000000000001E-2</v>
      </c>
      <c r="AV59" s="195">
        <f t="shared" si="117"/>
        <v>4.5384822578756291E-2</v>
      </c>
      <c r="AW59" s="254">
        <f t="shared" si="128"/>
        <v>9.5000000000000001E-2</v>
      </c>
      <c r="AX59" s="35">
        <f t="shared" si="129"/>
        <v>5.7000000000000002E-2</v>
      </c>
      <c r="AY59" s="35">
        <f t="shared" si="130"/>
        <v>0</v>
      </c>
      <c r="AZ59" s="238">
        <f t="shared" si="131"/>
        <v>8.1000000000000003E-2</v>
      </c>
      <c r="BA59" s="238">
        <f t="shared" si="109"/>
        <v>0.02</v>
      </c>
      <c r="BB59" s="195">
        <f t="shared" si="118"/>
        <v>4.3888025261112462E-2</v>
      </c>
      <c r="BC59" s="245">
        <f t="shared" si="132"/>
        <v>9.5000000000000001E-2</v>
      </c>
      <c r="BD59" s="35">
        <f t="shared" si="133"/>
        <v>0</v>
      </c>
      <c r="BE59" s="238">
        <f t="shared" si="110"/>
        <v>0.02</v>
      </c>
      <c r="BF59" s="238">
        <f t="shared" si="111"/>
        <v>3.400428265524625E-2</v>
      </c>
      <c r="BG59" s="241">
        <f t="shared" si="112"/>
        <v>0</v>
      </c>
      <c r="BH59" s="194">
        <f t="shared" si="134"/>
        <v>4.2999999999999997E-2</v>
      </c>
      <c r="BI59" s="35">
        <f t="shared" si="135"/>
        <v>6.0000000000000001E-3</v>
      </c>
      <c r="BJ59" s="238">
        <f t="shared" si="115"/>
        <v>0.02</v>
      </c>
      <c r="BK59" s="238">
        <f t="shared" si="41"/>
        <v>5.6000000000000001E-2</v>
      </c>
      <c r="BL59" s="238">
        <f t="shared" si="42"/>
        <v>5.7000000000000002E-2</v>
      </c>
      <c r="BM59" s="195">
        <f t="shared" si="116"/>
        <v>3.7844906478285298E-2</v>
      </c>
      <c r="BN59" s="254">
        <f t="shared" si="136"/>
        <v>9.5000000000000001E-2</v>
      </c>
      <c r="BO59" s="35">
        <f t="shared" si="137"/>
        <v>5.7000000000000002E-2</v>
      </c>
      <c r="BP59" s="35">
        <f t="shared" si="138"/>
        <v>6.0000000000000001E-3</v>
      </c>
      <c r="BQ59" s="238">
        <f t="shared" si="139"/>
        <v>8.1000000000000003E-2</v>
      </c>
      <c r="BR59" s="195">
        <f t="shared" si="140"/>
        <v>4.3027830854864169E-2</v>
      </c>
    </row>
    <row r="60" spans="1:70" x14ac:dyDescent="0.25">
      <c r="A60" s="192" t="s">
        <v>88</v>
      </c>
      <c r="B60" s="5">
        <v>16.399999999999999</v>
      </c>
      <c r="C60" s="5">
        <v>18.899999999999999</v>
      </c>
      <c r="D60" s="5">
        <v>18.8</v>
      </c>
      <c r="E60" s="5">
        <v>19.5</v>
      </c>
      <c r="F60" s="5">
        <v>17.7</v>
      </c>
      <c r="G60" s="5">
        <v>18.5</v>
      </c>
      <c r="H60" s="5">
        <v>15.3</v>
      </c>
      <c r="I60" s="5">
        <v>15.7</v>
      </c>
      <c r="J60" s="5">
        <v>12.9</v>
      </c>
      <c r="K60" s="5">
        <v>14.5</v>
      </c>
      <c r="L60" s="5">
        <v>13.6</v>
      </c>
      <c r="M60" s="5">
        <v>19.399999999999999</v>
      </c>
      <c r="N60" s="5">
        <v>16.3</v>
      </c>
      <c r="O60" s="5">
        <v>23</v>
      </c>
      <c r="P60" s="312">
        <v>18.8</v>
      </c>
      <c r="Q60" s="312">
        <v>15.6</v>
      </c>
      <c r="R60" s="67">
        <v>24</v>
      </c>
      <c r="S60" s="5">
        <v>20</v>
      </c>
      <c r="T60" s="5">
        <v>17.600000000000001</v>
      </c>
      <c r="U60" s="5">
        <v>23.8</v>
      </c>
      <c r="V60" s="313">
        <v>18.3</v>
      </c>
      <c r="W60" s="199">
        <f t="shared" si="97"/>
        <v>16.780256867869209</v>
      </c>
      <c r="X60" s="247">
        <f t="shared" si="119"/>
        <v>16.399999999999999</v>
      </c>
      <c r="Y60" s="5">
        <f t="shared" si="120"/>
        <v>19.5</v>
      </c>
      <c r="Z60" s="5">
        <f t="shared" si="10"/>
        <v>17.7</v>
      </c>
      <c r="AA60" s="5">
        <f t="shared" si="11"/>
        <v>18.5</v>
      </c>
      <c r="AB60" s="5">
        <f t="shared" si="12"/>
        <v>15.3</v>
      </c>
      <c r="AC60" s="5">
        <f t="shared" si="13"/>
        <v>15.7</v>
      </c>
      <c r="AD60" s="5">
        <f t="shared" si="98"/>
        <v>12.9</v>
      </c>
      <c r="AE60" s="5">
        <f t="shared" si="121"/>
        <v>14.5</v>
      </c>
      <c r="AF60" s="5">
        <f t="shared" si="100"/>
        <v>18.8</v>
      </c>
      <c r="AG60" s="5">
        <f t="shared" si="17"/>
        <v>15.6</v>
      </c>
      <c r="AH60" s="67">
        <f t="shared" si="18"/>
        <v>24</v>
      </c>
      <c r="AI60" s="251">
        <f t="shared" si="101"/>
        <v>17.168249461383709</v>
      </c>
      <c r="AJ60" s="247">
        <f t="shared" si="122"/>
        <v>16.399999999999999</v>
      </c>
      <c r="AK60" s="5">
        <f t="shared" si="123"/>
        <v>19.5</v>
      </c>
      <c r="AL60" s="5">
        <f t="shared" si="102"/>
        <v>12.9</v>
      </c>
      <c r="AM60" s="5">
        <f t="shared" si="124"/>
        <v>14.5</v>
      </c>
      <c r="AN60" s="5">
        <f t="shared" si="104"/>
        <v>18.8</v>
      </c>
      <c r="AO60" s="5">
        <f t="shared" si="105"/>
        <v>20</v>
      </c>
      <c r="AP60" s="240">
        <f t="shared" si="106"/>
        <v>16.801640371138866</v>
      </c>
      <c r="AQ60" s="257">
        <f t="shared" si="125"/>
        <v>16.399999999999999</v>
      </c>
      <c r="AR60" s="5">
        <f t="shared" si="126"/>
        <v>18.8</v>
      </c>
      <c r="AS60" s="5">
        <f t="shared" si="127"/>
        <v>13.6</v>
      </c>
      <c r="AT60" s="5">
        <f t="shared" si="107"/>
        <v>23</v>
      </c>
      <c r="AU60" s="5">
        <f t="shared" si="108"/>
        <v>20</v>
      </c>
      <c r="AV60" s="240">
        <f t="shared" si="117"/>
        <v>17.985829722449935</v>
      </c>
      <c r="AW60" s="257">
        <f t="shared" si="128"/>
        <v>18.899999999999999</v>
      </c>
      <c r="AX60" s="5">
        <f t="shared" si="129"/>
        <v>18.8</v>
      </c>
      <c r="AY60" s="5">
        <f t="shared" si="130"/>
        <v>13.6</v>
      </c>
      <c r="AZ60" s="237">
        <f t="shared" si="131"/>
        <v>23</v>
      </c>
      <c r="BA60" s="237">
        <f t="shared" si="109"/>
        <v>17.600000000000001</v>
      </c>
      <c r="BB60" s="240">
        <f t="shared" si="118"/>
        <v>17.798129706096674</v>
      </c>
      <c r="BC60" s="247">
        <f t="shared" si="132"/>
        <v>18.899999999999999</v>
      </c>
      <c r="BD60" s="99">
        <f t="shared" si="133"/>
        <v>13.6</v>
      </c>
      <c r="BE60" s="251">
        <f t="shared" si="110"/>
        <v>17.600000000000001</v>
      </c>
      <c r="BF60" s="251">
        <f t="shared" si="111"/>
        <v>16.675160599571733</v>
      </c>
      <c r="BG60" s="261">
        <f t="shared" si="112"/>
        <v>13.6</v>
      </c>
      <c r="BH60" s="209">
        <f t="shared" si="134"/>
        <v>19.399999999999999</v>
      </c>
      <c r="BI60" s="99">
        <f t="shared" si="135"/>
        <v>16.3</v>
      </c>
      <c r="BJ60" s="251">
        <f t="shared" si="115"/>
        <v>17.600000000000001</v>
      </c>
      <c r="BK60" s="251">
        <f t="shared" si="41"/>
        <v>23.8</v>
      </c>
      <c r="BL60" s="251">
        <f t="shared" si="42"/>
        <v>18.3</v>
      </c>
      <c r="BM60" s="240">
        <f t="shared" si="116"/>
        <v>19.643597977041022</v>
      </c>
      <c r="BN60" s="257">
        <f t="shared" si="136"/>
        <v>18.899999999999999</v>
      </c>
      <c r="BO60" s="5">
        <f t="shared" si="137"/>
        <v>18.8</v>
      </c>
      <c r="BP60" s="5">
        <f t="shared" si="138"/>
        <v>16.3</v>
      </c>
      <c r="BQ60" s="237">
        <f t="shared" si="139"/>
        <v>23</v>
      </c>
      <c r="BR60" s="240">
        <f t="shared" si="140"/>
        <v>18.329475783002408</v>
      </c>
    </row>
    <row r="61" spans="1:70" x14ac:dyDescent="0.25">
      <c r="A61" s="192" t="s">
        <v>89</v>
      </c>
      <c r="B61" s="5"/>
      <c r="C61" s="5"/>
      <c r="D61" s="5"/>
      <c r="E61" s="5"/>
      <c r="F61" s="5"/>
      <c r="G61" s="5"/>
      <c r="H61" s="5"/>
      <c r="I61" s="5"/>
      <c r="J61" s="5"/>
      <c r="K61" s="5"/>
      <c r="L61" s="5"/>
      <c r="M61" s="5"/>
      <c r="N61" s="5"/>
      <c r="O61" s="5"/>
      <c r="P61" s="5"/>
      <c r="Q61" s="5"/>
      <c r="R61" s="67" t="s">
        <v>47</v>
      </c>
      <c r="S61" s="5"/>
      <c r="T61" s="5"/>
      <c r="U61" s="5"/>
      <c r="V61" s="237"/>
      <c r="W61" s="43"/>
      <c r="X61" s="41"/>
      <c r="Y61" s="5"/>
      <c r="Z61" s="5"/>
      <c r="AA61" s="5"/>
      <c r="AB61" s="5"/>
      <c r="AC61" s="5"/>
      <c r="AD61" s="5"/>
      <c r="AE61" s="5"/>
      <c r="AF61" s="5"/>
      <c r="AG61" s="5"/>
      <c r="AH61" s="67"/>
      <c r="AI61" s="237"/>
      <c r="AJ61" s="41"/>
      <c r="AK61" s="5"/>
      <c r="AL61" s="5"/>
      <c r="AM61" s="5"/>
      <c r="AN61" s="5"/>
      <c r="AO61" s="5"/>
      <c r="AP61" s="43"/>
      <c r="AQ61" s="258"/>
      <c r="AR61" s="5"/>
      <c r="AS61" s="5"/>
      <c r="AT61" s="5"/>
      <c r="AU61" s="5"/>
      <c r="AV61" s="43"/>
      <c r="AW61" s="258"/>
      <c r="AX61" s="5"/>
      <c r="AY61" s="5"/>
      <c r="AZ61" s="237"/>
      <c r="BA61" s="237"/>
      <c r="BB61" s="43"/>
      <c r="BC61" s="41"/>
      <c r="BD61" s="5"/>
      <c r="BE61" s="237"/>
      <c r="BF61" s="237"/>
      <c r="BG61" s="41"/>
      <c r="BH61" s="5"/>
      <c r="BI61" s="5"/>
      <c r="BJ61" s="237"/>
      <c r="BK61" s="237"/>
      <c r="BL61" s="237"/>
      <c r="BM61" s="43"/>
      <c r="BN61" s="258"/>
      <c r="BO61" s="5"/>
      <c r="BP61" s="5"/>
      <c r="BQ61" s="237"/>
      <c r="BR61" s="43"/>
    </row>
    <row r="62" spans="1:70" x14ac:dyDescent="0.25">
      <c r="A62" s="192" t="s">
        <v>440</v>
      </c>
      <c r="B62" s="38">
        <v>1713</v>
      </c>
      <c r="C62" s="38">
        <v>945</v>
      </c>
      <c r="D62" s="38">
        <v>1388</v>
      </c>
      <c r="E62" s="38">
        <v>1187</v>
      </c>
      <c r="F62" s="38">
        <v>584</v>
      </c>
      <c r="G62" s="38">
        <v>1791</v>
      </c>
      <c r="H62" s="38">
        <v>2386</v>
      </c>
      <c r="I62" s="38">
        <v>1234</v>
      </c>
      <c r="J62" s="38">
        <v>297</v>
      </c>
      <c r="K62" s="38">
        <v>1409</v>
      </c>
      <c r="L62" s="38">
        <v>2323</v>
      </c>
      <c r="M62" s="38">
        <v>721</v>
      </c>
      <c r="N62" s="38">
        <v>1751</v>
      </c>
      <c r="O62" s="38">
        <v>821</v>
      </c>
      <c r="P62" s="38">
        <v>1110</v>
      </c>
      <c r="Q62" s="312">
        <v>927</v>
      </c>
      <c r="R62" s="50">
        <v>1294</v>
      </c>
      <c r="S62" s="38">
        <v>1590</v>
      </c>
      <c r="T62" s="38">
        <v>2280</v>
      </c>
      <c r="U62" s="38">
        <v>2303</v>
      </c>
      <c r="V62" s="313">
        <v>969</v>
      </c>
      <c r="W62" s="42">
        <f>SUM(B62:V62)</f>
        <v>29023</v>
      </c>
      <c r="X62" s="243">
        <f>(1/3)*B62</f>
        <v>571</v>
      </c>
      <c r="Y62" s="100">
        <f>(1/2)*E62</f>
        <v>593.5</v>
      </c>
      <c r="Z62" s="38">
        <f t="shared" si="10"/>
        <v>584</v>
      </c>
      <c r="AA62" s="38">
        <f t="shared" si="11"/>
        <v>1791</v>
      </c>
      <c r="AB62" s="38">
        <f t="shared" si="12"/>
        <v>2386</v>
      </c>
      <c r="AC62" s="38">
        <f t="shared" si="13"/>
        <v>1234</v>
      </c>
      <c r="AD62" s="38">
        <f>(1/2)*J62</f>
        <v>148.5</v>
      </c>
      <c r="AE62" s="100">
        <f>(1/2)*K62</f>
        <v>704.5</v>
      </c>
      <c r="AF62" s="100">
        <f>(1/2)*P62</f>
        <v>555</v>
      </c>
      <c r="AG62" s="100">
        <f t="shared" si="17"/>
        <v>927</v>
      </c>
      <c r="AH62" s="50">
        <f t="shared" si="18"/>
        <v>1294</v>
      </c>
      <c r="AI62" s="166">
        <f>SUM(X62:AH62)</f>
        <v>10788.5</v>
      </c>
      <c r="AJ62" s="243">
        <f>(1/3)*B62</f>
        <v>571</v>
      </c>
      <c r="AK62" s="100">
        <f>(1/2)*E62</f>
        <v>593.5</v>
      </c>
      <c r="AL62" s="100">
        <f>(1/2)*J62</f>
        <v>148.5</v>
      </c>
      <c r="AM62" s="100">
        <f>(1/2)*K62</f>
        <v>704.5</v>
      </c>
      <c r="AN62" s="100">
        <f>(1/2)*P62</f>
        <v>555</v>
      </c>
      <c r="AO62" s="100">
        <f>(1/2)*S62</f>
        <v>795</v>
      </c>
      <c r="AP62" s="42">
        <f>SUM(AJ62:AO62)</f>
        <v>3367.5</v>
      </c>
      <c r="AQ62" s="167">
        <f>(1/3)*B62</f>
        <v>571</v>
      </c>
      <c r="AR62" s="100">
        <f>(1/3)*D62</f>
        <v>462.66666666666663</v>
      </c>
      <c r="AS62" s="100">
        <f>(1/4)*L62</f>
        <v>580.75</v>
      </c>
      <c r="AT62" s="100">
        <f>(1/3)*O62</f>
        <v>273.66666666666663</v>
      </c>
      <c r="AU62" s="100">
        <f>(1/2)*S62</f>
        <v>795</v>
      </c>
      <c r="AV62" s="42">
        <f>SUM(AQ62:AU62)</f>
        <v>2683.083333333333</v>
      </c>
      <c r="AW62" s="167">
        <f>(1/2)*C62</f>
        <v>472.5</v>
      </c>
      <c r="AX62" s="100">
        <f>(1/3)*D62</f>
        <v>462.66666666666663</v>
      </c>
      <c r="AY62" s="100">
        <f>(1/4)*L62</f>
        <v>580.75</v>
      </c>
      <c r="AZ62" s="249">
        <f>(1/3)*O62</f>
        <v>273.66666666666663</v>
      </c>
      <c r="BA62" s="249">
        <f>(1/3)*T62</f>
        <v>760</v>
      </c>
      <c r="BB62" s="42">
        <f>SUM(AW62:BA62)</f>
        <v>2549.583333333333</v>
      </c>
      <c r="BC62" s="243">
        <f>(1/2)*C62</f>
        <v>472.5</v>
      </c>
      <c r="BD62" s="100">
        <f>(1/4)*L62</f>
        <v>580.75</v>
      </c>
      <c r="BE62" s="249">
        <f>(1/3)*T62</f>
        <v>760</v>
      </c>
      <c r="BF62" s="166">
        <f>SUM(BC62:BE62)</f>
        <v>1813.25</v>
      </c>
      <c r="BG62" s="243">
        <f>(1/4)*L62</f>
        <v>580.75</v>
      </c>
      <c r="BH62" s="38">
        <f>M62</f>
        <v>721</v>
      </c>
      <c r="BI62" s="100">
        <f>(1/2)*N62</f>
        <v>875.5</v>
      </c>
      <c r="BJ62" s="249">
        <f>(1/3)*T62</f>
        <v>760</v>
      </c>
      <c r="BK62" s="249">
        <f t="shared" si="41"/>
        <v>2303</v>
      </c>
      <c r="BL62" s="249">
        <f t="shared" si="42"/>
        <v>969</v>
      </c>
      <c r="BM62" s="42">
        <f>SUM(BG62:BL62)</f>
        <v>6209.25</v>
      </c>
      <c r="BN62" s="167">
        <f>(1/4)*C62</f>
        <v>236.25</v>
      </c>
      <c r="BO62" s="38">
        <f>(1/3)*D62</f>
        <v>462.66666666666663</v>
      </c>
      <c r="BP62" s="38">
        <f>(1/2)*N62</f>
        <v>875.5</v>
      </c>
      <c r="BQ62" s="166">
        <f t="shared" ref="BQ62" si="141">(1/3)*O62</f>
        <v>273.66666666666663</v>
      </c>
      <c r="BR62" s="42">
        <f>SUM(BN62:BQ62)</f>
        <v>1848.083333333333</v>
      </c>
    </row>
    <row r="63" spans="1:70" x14ac:dyDescent="0.25">
      <c r="A63" s="192" t="s">
        <v>441</v>
      </c>
      <c r="B63" s="35">
        <v>0.13100000000000001</v>
      </c>
      <c r="C63" s="35">
        <v>4.2000000000000003E-2</v>
      </c>
      <c r="D63" s="35">
        <v>0.19700000000000001</v>
      </c>
      <c r="E63" s="35">
        <v>7.6999999999999999E-2</v>
      </c>
      <c r="F63" s="35">
        <v>8.5999999999999993E-2</v>
      </c>
      <c r="G63" s="35">
        <v>5.1999999999999998E-2</v>
      </c>
      <c r="H63" s="35">
        <v>1.7000000000000001E-2</v>
      </c>
      <c r="I63" s="35">
        <v>4.1000000000000002E-2</v>
      </c>
      <c r="J63" s="35">
        <v>0.32</v>
      </c>
      <c r="K63" s="35">
        <v>7.6999999999999999E-2</v>
      </c>
      <c r="L63" s="35">
        <v>7.0000000000000007E-2</v>
      </c>
      <c r="M63" s="35">
        <v>8.5999999999999993E-2</v>
      </c>
      <c r="N63" s="35">
        <v>4.2000000000000003E-2</v>
      </c>
      <c r="O63" s="35">
        <v>5.6000000000000001E-2</v>
      </c>
      <c r="P63" s="315">
        <v>0.109</v>
      </c>
      <c r="Q63" s="315">
        <v>0.05</v>
      </c>
      <c r="R63" s="194">
        <v>4.1000000000000002E-2</v>
      </c>
      <c r="S63" s="35">
        <v>5.1999999999999998E-2</v>
      </c>
      <c r="T63" s="35">
        <v>7.1999999999999995E-2</v>
      </c>
      <c r="U63" s="35">
        <v>0.19600000000000001</v>
      </c>
      <c r="V63" s="317">
        <v>3.7999999999999999E-2</v>
      </c>
      <c r="W63" s="195">
        <f>((B63*$B$62)+(C63*$C$62)+(D63*$D$62)+(E63*$E$62)+(F63*$F$62)+(G63*$G$62)+(H63*$H$62)+(I63*$I$62)+(J63*$J$62)+(K63*$K$62)+(L63*$L$62)+(M63*$M$62)+(N63*$N$62)+(O63*$O$62)+(P63*$P$62)+(Q63*$Q$62)+(S63*$S$62)+(T63*$T$62)+(U63*$U$62)+(V63*$V$62))/$W$62</f>
        <v>7.9712538331667998E-2</v>
      </c>
      <c r="X63" s="241">
        <f>B63</f>
        <v>0.13100000000000001</v>
      </c>
      <c r="Y63" s="35">
        <f>E63</f>
        <v>7.6999999999999999E-2</v>
      </c>
      <c r="Z63" s="35">
        <f t="shared" si="10"/>
        <v>8.5999999999999993E-2</v>
      </c>
      <c r="AA63" s="35">
        <f t="shared" si="11"/>
        <v>5.1999999999999998E-2</v>
      </c>
      <c r="AB63" s="35">
        <f t="shared" si="12"/>
        <v>1.7000000000000001E-2</v>
      </c>
      <c r="AC63" s="35">
        <f t="shared" si="13"/>
        <v>4.1000000000000002E-2</v>
      </c>
      <c r="AD63" s="35">
        <f t="shared" ref="AD63:AD66" si="142">J63</f>
        <v>0.32</v>
      </c>
      <c r="AE63" s="35">
        <f>K63</f>
        <v>7.6999999999999999E-2</v>
      </c>
      <c r="AF63" s="35">
        <f t="shared" si="100"/>
        <v>0.109</v>
      </c>
      <c r="AG63" s="35">
        <f t="shared" si="17"/>
        <v>0.05</v>
      </c>
      <c r="AH63" s="194">
        <f t="shared" si="18"/>
        <v>4.1000000000000002E-2</v>
      </c>
      <c r="AI63" s="238">
        <f>((X63*$X$62)+(Y63*$Y$62)+(Z63*$Z$62)+(AA63*$AA$62)+(AB63*$AB$62)+(AC63*$AC$62)+(AD63*$AD$62)+(AE63*$AE$62)+(AF63*$AF$62)+(AG63*$AG$62)+(AH63*$AH$62))/$AI$62</f>
        <v>5.7160680354080735E-2</v>
      </c>
      <c r="AJ63" s="241">
        <f>B63</f>
        <v>0.13100000000000001</v>
      </c>
      <c r="AK63" s="35">
        <f>E63</f>
        <v>7.6999999999999999E-2</v>
      </c>
      <c r="AL63" s="35">
        <f t="shared" ref="AL63:AL66" si="143">J63</f>
        <v>0.32</v>
      </c>
      <c r="AM63" s="35">
        <f>K63</f>
        <v>7.6999999999999999E-2</v>
      </c>
      <c r="AN63" s="35">
        <f t="shared" ref="AN63:AN66" si="144">P63</f>
        <v>0.109</v>
      </c>
      <c r="AO63" s="35">
        <f t="shared" ref="AO63:AO66" si="145">S63</f>
        <v>5.1999999999999998E-2</v>
      </c>
      <c r="AP63" s="195">
        <f>((AJ63*$AJ$62)+(AK63*$AK$62)+ (AL63*$AL$62)+(AM63*$AM$62)+(AN63*$AN$62)+(AO63*$AO$62))/$AP$62</f>
        <v>9.6244097995545647E-2</v>
      </c>
      <c r="AQ63" s="256">
        <f>B63</f>
        <v>0.13100000000000001</v>
      </c>
      <c r="AR63" s="35">
        <f>D63</f>
        <v>0.19700000000000001</v>
      </c>
      <c r="AS63" s="35">
        <f>L63</f>
        <v>7.0000000000000007E-2</v>
      </c>
      <c r="AT63" s="35">
        <f t="shared" ref="AT63:AT66" si="146">O63</f>
        <v>5.6000000000000001E-2</v>
      </c>
      <c r="AU63" s="35">
        <f t="shared" ref="AU63:AU66" si="147">S63</f>
        <v>5.1999999999999998E-2</v>
      </c>
      <c r="AV63" s="195">
        <f>((AQ63*$AQ$62)+(AR63*$AR$62)+(AS63*$AS$62)+(AT63*$AT$62)+(AU63*$AU$62))/$AV$62</f>
        <v>9.812001118116595E-2</v>
      </c>
      <c r="AW63" s="256">
        <f t="shared" ref="AW63:AX66" si="148">C63</f>
        <v>4.2000000000000003E-2</v>
      </c>
      <c r="AX63" s="35">
        <f t="shared" si="148"/>
        <v>0.19700000000000001</v>
      </c>
      <c r="AY63" s="35">
        <f>L63</f>
        <v>7.0000000000000007E-2</v>
      </c>
      <c r="AZ63" s="238">
        <f>O63</f>
        <v>5.6000000000000001E-2</v>
      </c>
      <c r="BA63" s="238">
        <f t="shared" ref="BA63:BA66" si="149">T63</f>
        <v>7.1999999999999995E-2</v>
      </c>
      <c r="BB63" s="195">
        <f>((AW63*$AW$62)+(AX63*$AX$62)+(AY63*$AY$62)+(AZ63*$AZ$62)+(BA63*$BA$62))/$BB$62</f>
        <v>8.69507435855532E-2</v>
      </c>
      <c r="BC63" s="241">
        <f>C63</f>
        <v>4.2000000000000003E-2</v>
      </c>
      <c r="BD63" s="35">
        <f>L63</f>
        <v>7.0000000000000007E-2</v>
      </c>
      <c r="BE63" s="238">
        <f t="shared" ref="BE63:BE66" si="150">T63</f>
        <v>7.1999999999999995E-2</v>
      </c>
      <c r="BF63" s="238">
        <f>((BC63*$BC$62)+(BD63*$BD$62))/$BF$62</f>
        <v>3.3364125189576731E-2</v>
      </c>
      <c r="BG63" s="241">
        <f t="shared" ref="BG63:BG66" si="151">L63</f>
        <v>7.0000000000000007E-2</v>
      </c>
      <c r="BH63" s="35">
        <f>M63</f>
        <v>8.5999999999999993E-2</v>
      </c>
      <c r="BI63" s="35">
        <f>N63</f>
        <v>4.2000000000000003E-2</v>
      </c>
      <c r="BJ63" s="238">
        <f t="shared" ref="BJ63:BJ66" si="152">T63</f>
        <v>7.1999999999999995E-2</v>
      </c>
      <c r="BK63" s="238">
        <f t="shared" si="41"/>
        <v>0.19600000000000001</v>
      </c>
      <c r="BL63" s="238">
        <f t="shared" si="42"/>
        <v>3.7999999999999999E-2</v>
      </c>
      <c r="BM63" s="195">
        <f>((BG63*$BG$62)+(BH63*$BH$62)+(BI63*$BI$62)+(BJ63*$BJ$62)+(BK63*$BK$62)+(BL63*$BL$62))/$BM$62</f>
        <v>0.10989402906953336</v>
      </c>
      <c r="BN63" s="256">
        <f t="shared" ref="BN63:BO66" si="153">C63</f>
        <v>4.2000000000000003E-2</v>
      </c>
      <c r="BO63" s="35">
        <f t="shared" si="153"/>
        <v>0.19700000000000001</v>
      </c>
      <c r="BP63" s="35">
        <f t="shared" ref="BP63:BQ66" si="154">N63</f>
        <v>4.2000000000000003E-2</v>
      </c>
      <c r="BQ63" s="238">
        <f t="shared" si="154"/>
        <v>5.6000000000000001E-2</v>
      </c>
      <c r="BR63" s="195">
        <f>((BN63*$BN$62)+(BO63*$BO$62)+(BP63*$BP$62)+(BQ63*$BQ$62))/$BR$62</f>
        <v>8.287730531631872E-2</v>
      </c>
    </row>
    <row r="64" spans="1:70" x14ac:dyDescent="0.25">
      <c r="A64" s="192" t="s">
        <v>442</v>
      </c>
      <c r="B64" s="35">
        <v>0.435</v>
      </c>
      <c r="C64" s="35">
        <v>0.34200000000000003</v>
      </c>
      <c r="D64" s="35">
        <v>0.28000000000000003</v>
      </c>
      <c r="E64" s="35">
        <v>0.35599999999999998</v>
      </c>
      <c r="F64" s="35">
        <v>0.46899999999999997</v>
      </c>
      <c r="G64" s="35">
        <v>0.35099999999999998</v>
      </c>
      <c r="H64" s="35">
        <v>0.26900000000000002</v>
      </c>
      <c r="I64" s="35">
        <v>0.22900000000000001</v>
      </c>
      <c r="J64" s="35">
        <v>0.377</v>
      </c>
      <c r="K64" s="35">
        <v>0.24399999999999999</v>
      </c>
      <c r="L64" s="35">
        <v>0.312</v>
      </c>
      <c r="M64" s="35">
        <v>0.308</v>
      </c>
      <c r="N64" s="35">
        <v>0.503</v>
      </c>
      <c r="O64" s="35">
        <v>0.51200000000000001</v>
      </c>
      <c r="P64" s="315">
        <v>0.36499999999999999</v>
      </c>
      <c r="Q64" s="315">
        <v>0.19700000000000001</v>
      </c>
      <c r="R64" s="194">
        <v>0.32600000000000001</v>
      </c>
      <c r="S64" s="35">
        <v>0.32800000000000001</v>
      </c>
      <c r="T64" s="35">
        <v>0.24099999999999999</v>
      </c>
      <c r="U64" s="35">
        <v>0.187</v>
      </c>
      <c r="V64" s="317">
        <v>0.27500000000000002</v>
      </c>
      <c r="W64" s="195">
        <f t="shared" ref="W64:W66" si="155">((B64*$B$62)+(C64*$C$62)+(D64*$D$62)+(E64*$E$62)+(F64*$F$62)+(G64*$G$62)+(H64*$H$62)+(I64*$I$62)+(J64*$J$62)+(K64*$K$62)+(L64*$L$62)+(M64*$M$62)+(N64*$N$62)+(O64*$O$62)+(P64*$P$62)+(Q64*$Q$62)+(S64*$S$62)+(T64*$T$62)+(U64*$U$62)+(V64*$V$62))/$W$62</f>
        <v>0.30204089859766392</v>
      </c>
      <c r="X64" s="241">
        <f>B64</f>
        <v>0.435</v>
      </c>
      <c r="Y64" s="35">
        <f>E64</f>
        <v>0.35599999999999998</v>
      </c>
      <c r="Z64" s="35">
        <f t="shared" si="10"/>
        <v>0.46899999999999997</v>
      </c>
      <c r="AA64" s="35">
        <f t="shared" si="11"/>
        <v>0.35099999999999998</v>
      </c>
      <c r="AB64" s="35">
        <f t="shared" si="12"/>
        <v>0.26900000000000002</v>
      </c>
      <c r="AC64" s="35">
        <f t="shared" si="13"/>
        <v>0.22900000000000001</v>
      </c>
      <c r="AD64" s="35">
        <f t="shared" si="142"/>
        <v>0.377</v>
      </c>
      <c r="AE64" s="35">
        <f>K64</f>
        <v>0.24399999999999999</v>
      </c>
      <c r="AF64" s="35">
        <f t="shared" si="100"/>
        <v>0.36499999999999999</v>
      </c>
      <c r="AG64" s="35">
        <f t="shared" si="17"/>
        <v>0.19700000000000001</v>
      </c>
      <c r="AH64" s="194">
        <f t="shared" si="18"/>
        <v>0.32600000000000001</v>
      </c>
      <c r="AI64" s="238">
        <f t="shared" ref="AI64:AI66" si="156">((X64*$X$62)+(Y64*$Y$62)+(Z64*$Z$62)+(AA64*$AA$62)+(AB64*$AB$62)+(AC64*$AC$62)+(AD64*$AD$62)+(AE64*$AE$62)+(AF64*$AF$62)+(AG64*$AG$62)+(AH64*$AH$62))/$AI$62</f>
        <v>0.30787862075358025</v>
      </c>
      <c r="AJ64" s="241">
        <f>B64</f>
        <v>0.435</v>
      </c>
      <c r="AK64" s="35">
        <f>E64</f>
        <v>0.35599999999999998</v>
      </c>
      <c r="AL64" s="35">
        <f t="shared" si="143"/>
        <v>0.377</v>
      </c>
      <c r="AM64" s="35">
        <f>K64</f>
        <v>0.24399999999999999</v>
      </c>
      <c r="AN64" s="35">
        <f t="shared" si="144"/>
        <v>0.36499999999999999</v>
      </c>
      <c r="AO64" s="35">
        <f t="shared" si="145"/>
        <v>0.32800000000000001</v>
      </c>
      <c r="AP64" s="195">
        <f t="shared" ref="AP64:AP66" si="157">((AJ64*$AJ$62)+(AK64*$AK$62)+ (AL64*$AL$62)+(AM64*$AM$62)+(AN64*$AN$62)+(AO64*$AO$62))/$AP$62</f>
        <v>0.34176347438752785</v>
      </c>
      <c r="AQ64" s="256">
        <f>B64</f>
        <v>0.435</v>
      </c>
      <c r="AR64" s="35">
        <f>D64</f>
        <v>0.28000000000000003</v>
      </c>
      <c r="AS64" s="35">
        <f>L64</f>
        <v>0.312</v>
      </c>
      <c r="AT64" s="35">
        <f t="shared" si="146"/>
        <v>0.51200000000000001</v>
      </c>
      <c r="AU64" s="35">
        <f t="shared" si="147"/>
        <v>0.32800000000000001</v>
      </c>
      <c r="AV64" s="195">
        <f t="shared" ref="AV64" si="158">((AQ64*$AQ$62)+(AR64*$AR$62)+(AS64*$AS$62)+(AT64*$AT$62)+(AU64*$AU$62))/$AV$62</f>
        <v>0.35779842842500853</v>
      </c>
      <c r="AW64" s="256">
        <f t="shared" si="148"/>
        <v>0.34200000000000003</v>
      </c>
      <c r="AX64" s="35">
        <f t="shared" si="148"/>
        <v>0.28000000000000003</v>
      </c>
      <c r="AY64" s="35">
        <f>L64</f>
        <v>0.312</v>
      </c>
      <c r="AZ64" s="238">
        <f>O64</f>
        <v>0.51200000000000001</v>
      </c>
      <c r="BA64" s="238">
        <f t="shared" si="149"/>
        <v>0.24099999999999999</v>
      </c>
      <c r="BB64" s="195">
        <f t="shared" ref="BB64:BB65" si="159">((AW64*$AW$62)+(AX64*$AX$62)+(AY64*$AY$62)+(AZ64*$AZ$62)+(BA64*$BA$62))/$BB$62</f>
        <v>0.31205608759601244</v>
      </c>
      <c r="BC64" s="241">
        <f>C64</f>
        <v>0.34200000000000003</v>
      </c>
      <c r="BD64" s="35">
        <f>L64</f>
        <v>0.312</v>
      </c>
      <c r="BE64" s="238">
        <f t="shared" si="150"/>
        <v>0.24099999999999999</v>
      </c>
      <c r="BF64" s="238">
        <f>((BC64*$BC$62)+(BD64*$BD$62))/$BF$62</f>
        <v>0.1890467392802978</v>
      </c>
      <c r="BG64" s="241">
        <f t="shared" si="151"/>
        <v>0.312</v>
      </c>
      <c r="BH64" s="35">
        <f>M64</f>
        <v>0.308</v>
      </c>
      <c r="BI64" s="35">
        <f>N64</f>
        <v>0.503</v>
      </c>
      <c r="BJ64" s="238">
        <f t="shared" si="152"/>
        <v>0.24099999999999999</v>
      </c>
      <c r="BK64" s="238">
        <f t="shared" si="41"/>
        <v>0.187</v>
      </c>
      <c r="BL64" s="238">
        <f t="shared" si="42"/>
        <v>0.27500000000000002</v>
      </c>
      <c r="BM64" s="195">
        <f t="shared" ref="BM64:BM65" si="160">((BG64*$BG$62)+(BH64*$BH$62)+(BI64*$BI$62)+(BJ64*$BJ$62)+(BK64*$BK$62)+(BL64*$BL$62))/$BM$62</f>
        <v>0.2776397310464227</v>
      </c>
      <c r="BN64" s="256">
        <f t="shared" si="153"/>
        <v>0.34200000000000003</v>
      </c>
      <c r="BO64" s="35">
        <f t="shared" si="153"/>
        <v>0.28000000000000003</v>
      </c>
      <c r="BP64" s="35">
        <f t="shared" si="154"/>
        <v>0.503</v>
      </c>
      <c r="BQ64" s="238">
        <f t="shared" si="154"/>
        <v>0.51200000000000001</v>
      </c>
      <c r="BR64" s="195">
        <f t="shared" ref="BR64:BR65" si="161">((BN64*$BN$62)+(BO64*$BO$62)+(BP64*$BP$62)+(BQ64*$BQ$62))/$BR$62</f>
        <v>0.42792334400505033</v>
      </c>
    </row>
    <row r="65" spans="1:70" x14ac:dyDescent="0.25">
      <c r="A65" s="192" t="s">
        <v>443</v>
      </c>
      <c r="B65" s="35">
        <v>0.32</v>
      </c>
      <c r="C65" s="35">
        <v>0.41499999999999998</v>
      </c>
      <c r="D65" s="35">
        <v>0.22</v>
      </c>
      <c r="E65" s="35">
        <v>0.29799999999999999</v>
      </c>
      <c r="F65" s="35">
        <v>0.123</v>
      </c>
      <c r="G65" s="35">
        <v>0.46</v>
      </c>
      <c r="H65" s="35">
        <v>0.57999999999999996</v>
      </c>
      <c r="I65" s="35">
        <v>0.47399999999999998</v>
      </c>
      <c r="J65" s="35">
        <v>0.14499999999999999</v>
      </c>
      <c r="K65" s="35">
        <v>0.26300000000000001</v>
      </c>
      <c r="L65" s="35">
        <v>0.23599999999999999</v>
      </c>
      <c r="M65" s="35">
        <v>0.438</v>
      </c>
      <c r="N65" s="35">
        <v>0.35399999999999998</v>
      </c>
      <c r="O65" s="35">
        <v>0.186</v>
      </c>
      <c r="P65" s="315">
        <v>0.40600000000000003</v>
      </c>
      <c r="Q65" s="315">
        <v>0.34200000000000003</v>
      </c>
      <c r="R65" s="194">
        <v>0.39500000000000002</v>
      </c>
      <c r="S65" s="35">
        <v>0.249</v>
      </c>
      <c r="T65" s="35">
        <v>0.31</v>
      </c>
      <c r="U65" s="35">
        <v>0.47499999999999998</v>
      </c>
      <c r="V65" s="317">
        <v>0.498</v>
      </c>
      <c r="W65" s="195">
        <f t="shared" si="155"/>
        <v>0.34321117734210793</v>
      </c>
      <c r="X65" s="241">
        <f>B65</f>
        <v>0.32</v>
      </c>
      <c r="Y65" s="35">
        <f>E65</f>
        <v>0.29799999999999999</v>
      </c>
      <c r="Z65" s="35">
        <f t="shared" si="10"/>
        <v>0.123</v>
      </c>
      <c r="AA65" s="35">
        <f t="shared" si="11"/>
        <v>0.46</v>
      </c>
      <c r="AB65" s="35">
        <f t="shared" si="12"/>
        <v>0.57999999999999996</v>
      </c>
      <c r="AC65" s="35">
        <f t="shared" si="13"/>
        <v>0.47399999999999998</v>
      </c>
      <c r="AD65" s="35">
        <f t="shared" si="142"/>
        <v>0.14499999999999999</v>
      </c>
      <c r="AE65" s="35">
        <f>K65</f>
        <v>0.26300000000000001</v>
      </c>
      <c r="AF65" s="35">
        <f t="shared" si="100"/>
        <v>0.40600000000000003</v>
      </c>
      <c r="AG65" s="35">
        <f t="shared" si="17"/>
        <v>0.34200000000000003</v>
      </c>
      <c r="AH65" s="194">
        <f t="shared" si="18"/>
        <v>0.39500000000000002</v>
      </c>
      <c r="AI65" s="238">
        <f t="shared" si="156"/>
        <v>0.41566306715484075</v>
      </c>
      <c r="AJ65" s="241">
        <f>B65</f>
        <v>0.32</v>
      </c>
      <c r="AK65" s="35">
        <f>E65</f>
        <v>0.29799999999999999</v>
      </c>
      <c r="AL65" s="35">
        <f t="shared" si="143"/>
        <v>0.14499999999999999</v>
      </c>
      <c r="AM65" s="35">
        <f>K65</f>
        <v>0.26300000000000001</v>
      </c>
      <c r="AN65" s="35">
        <f t="shared" si="144"/>
        <v>0.40600000000000003</v>
      </c>
      <c r="AO65" s="35">
        <f t="shared" si="145"/>
        <v>0.249</v>
      </c>
      <c r="AP65" s="195">
        <f t="shared" si="157"/>
        <v>0.29389279881217523</v>
      </c>
      <c r="AQ65" s="256">
        <f>B65</f>
        <v>0.32</v>
      </c>
      <c r="AR65" s="35">
        <f>D65</f>
        <v>0.22</v>
      </c>
      <c r="AS65" s="35">
        <f>L65</f>
        <v>0.23599999999999999</v>
      </c>
      <c r="AT65" s="35">
        <f t="shared" si="146"/>
        <v>0.186</v>
      </c>
      <c r="AU65" s="35">
        <f t="shared" si="147"/>
        <v>0.249</v>
      </c>
      <c r="AV65" s="195">
        <f>((AQ65*$AQ$62)+(AR65*$AR$62)+(AS65*$AS$62)+(AT65*$AT$62)+(AU65*$AU$62))/$AV$62</f>
        <v>0.24986949094636149</v>
      </c>
      <c r="AW65" s="256">
        <f t="shared" si="148"/>
        <v>0.41499999999999998</v>
      </c>
      <c r="AX65" s="35">
        <f t="shared" si="148"/>
        <v>0.22</v>
      </c>
      <c r="AY65" s="35">
        <f>L65</f>
        <v>0.23599999999999999</v>
      </c>
      <c r="AZ65" s="238">
        <f>O65</f>
        <v>0.186</v>
      </c>
      <c r="BA65" s="238">
        <f t="shared" si="149"/>
        <v>0.31</v>
      </c>
      <c r="BB65" s="195">
        <f t="shared" si="159"/>
        <v>0.2829612028109168</v>
      </c>
      <c r="BC65" s="241">
        <f>C65</f>
        <v>0.41499999999999998</v>
      </c>
      <c r="BD65" s="35">
        <f>L65</f>
        <v>0.23599999999999999</v>
      </c>
      <c r="BE65" s="238">
        <f t="shared" si="150"/>
        <v>0.31</v>
      </c>
      <c r="BF65" s="238">
        <f>((BC65*$BC$62)+(BD65*$BD$62))/$BF$62</f>
        <v>0.18372783675720392</v>
      </c>
      <c r="BG65" s="241">
        <f t="shared" si="151"/>
        <v>0.23599999999999999</v>
      </c>
      <c r="BH65" s="35">
        <f>M65</f>
        <v>0.438</v>
      </c>
      <c r="BI65" s="35">
        <f>N65</f>
        <v>0.35399999999999998</v>
      </c>
      <c r="BJ65" s="238">
        <f t="shared" si="152"/>
        <v>0.31</v>
      </c>
      <c r="BK65" s="238">
        <f t="shared" si="41"/>
        <v>0.47499999999999998</v>
      </c>
      <c r="BL65" s="238">
        <f t="shared" si="42"/>
        <v>0.498</v>
      </c>
      <c r="BM65" s="195">
        <f t="shared" si="160"/>
        <v>0.4146827716712968</v>
      </c>
      <c r="BN65" s="256">
        <f t="shared" si="153"/>
        <v>0.41499999999999998</v>
      </c>
      <c r="BO65" s="35">
        <f t="shared" si="153"/>
        <v>0.22</v>
      </c>
      <c r="BP65" s="35">
        <f t="shared" si="154"/>
        <v>0.35399999999999998</v>
      </c>
      <c r="BQ65" s="238">
        <f t="shared" si="154"/>
        <v>0.186</v>
      </c>
      <c r="BR65" s="195">
        <f t="shared" si="161"/>
        <v>0.30337344997069038</v>
      </c>
    </row>
    <row r="66" spans="1:70" ht="15.75" thickBot="1" x14ac:dyDescent="0.3">
      <c r="A66" s="193" t="s">
        <v>444</v>
      </c>
      <c r="B66" s="196">
        <v>0.114</v>
      </c>
      <c r="C66" s="196">
        <v>0.20100000000000001</v>
      </c>
      <c r="D66" s="196">
        <v>0.30299999999999999</v>
      </c>
      <c r="E66" s="196">
        <v>0.26900000000000002</v>
      </c>
      <c r="F66" s="196">
        <v>0.32200000000000001</v>
      </c>
      <c r="G66" s="196">
        <v>0.13700000000000001</v>
      </c>
      <c r="H66" s="196">
        <v>0.13500000000000001</v>
      </c>
      <c r="I66" s="196">
        <v>0.25700000000000001</v>
      </c>
      <c r="J66" s="196">
        <v>0.158</v>
      </c>
      <c r="K66" s="196">
        <v>0.41699999999999998</v>
      </c>
      <c r="L66" s="196">
        <v>0.38200000000000001</v>
      </c>
      <c r="M66" s="196">
        <v>0.16800000000000001</v>
      </c>
      <c r="N66" s="196">
        <v>0.10199999999999999</v>
      </c>
      <c r="O66" s="196">
        <v>0.246</v>
      </c>
      <c r="P66" s="318">
        <v>0.12</v>
      </c>
      <c r="Q66" s="318">
        <v>0.41099999999999998</v>
      </c>
      <c r="R66" s="208">
        <v>0.23799999999999999</v>
      </c>
      <c r="S66" s="196">
        <v>0.371</v>
      </c>
      <c r="T66" s="196">
        <v>0.377</v>
      </c>
      <c r="U66" s="196">
        <v>0.14199999999999999</v>
      </c>
      <c r="V66" s="319">
        <v>0.189</v>
      </c>
      <c r="W66" s="197">
        <f t="shared" si="155"/>
        <v>0.23068366467973678</v>
      </c>
      <c r="X66" s="242">
        <f>B66</f>
        <v>0.114</v>
      </c>
      <c r="Y66" s="196">
        <f>E66</f>
        <v>0.26900000000000002</v>
      </c>
      <c r="Z66" s="196">
        <f t="shared" si="10"/>
        <v>0.32200000000000001</v>
      </c>
      <c r="AA66" s="196">
        <f t="shared" si="11"/>
        <v>0.13700000000000001</v>
      </c>
      <c r="AB66" s="196">
        <f t="shared" si="12"/>
        <v>0.13500000000000001</v>
      </c>
      <c r="AC66" s="196">
        <f t="shared" si="13"/>
        <v>0.25700000000000001</v>
      </c>
      <c r="AD66" s="196">
        <f t="shared" si="142"/>
        <v>0.158</v>
      </c>
      <c r="AE66" s="196">
        <f>K66</f>
        <v>0.41699999999999998</v>
      </c>
      <c r="AF66" s="196">
        <f t="shared" si="100"/>
        <v>0.12</v>
      </c>
      <c r="AG66" s="196">
        <f t="shared" si="17"/>
        <v>0.41099999999999998</v>
      </c>
      <c r="AH66" s="208">
        <f t="shared" si="18"/>
        <v>0.23799999999999999</v>
      </c>
      <c r="AI66" s="239">
        <f t="shared" si="156"/>
        <v>0.21969847522825228</v>
      </c>
      <c r="AJ66" s="242">
        <f>B66</f>
        <v>0.114</v>
      </c>
      <c r="AK66" s="196">
        <f>E66</f>
        <v>0.26900000000000002</v>
      </c>
      <c r="AL66" s="196">
        <f t="shared" si="143"/>
        <v>0.158</v>
      </c>
      <c r="AM66" s="196">
        <f>K66</f>
        <v>0.41699999999999998</v>
      </c>
      <c r="AN66" s="196">
        <f t="shared" si="144"/>
        <v>0.12</v>
      </c>
      <c r="AO66" s="196">
        <f t="shared" si="145"/>
        <v>0.371</v>
      </c>
      <c r="AP66" s="197">
        <f t="shared" si="157"/>
        <v>0.26830883444691905</v>
      </c>
      <c r="AQ66" s="259">
        <f>B66</f>
        <v>0.114</v>
      </c>
      <c r="AR66" s="196">
        <f>D66</f>
        <v>0.30299999999999999</v>
      </c>
      <c r="AS66" s="196">
        <f>L66</f>
        <v>0.38200000000000001</v>
      </c>
      <c r="AT66" s="196">
        <f t="shared" si="146"/>
        <v>0.246</v>
      </c>
      <c r="AU66" s="196">
        <f t="shared" si="147"/>
        <v>0.371</v>
      </c>
      <c r="AV66" s="197">
        <f>((AQ66*$AQ$62)+(AR66*$AR$62)+(AS66*$AS$62)+(AT66*$AT$62)+(AU66*$AU$62))/$AV$62</f>
        <v>0.29421206944746409</v>
      </c>
      <c r="AW66" s="259">
        <f t="shared" si="148"/>
        <v>0.20100000000000001</v>
      </c>
      <c r="AX66" s="196">
        <f t="shared" si="148"/>
        <v>0.30299999999999999</v>
      </c>
      <c r="AY66" s="196">
        <f>L66</f>
        <v>0.38200000000000001</v>
      </c>
      <c r="AZ66" s="239">
        <f>O66</f>
        <v>0.246</v>
      </c>
      <c r="BA66" s="239">
        <f t="shared" si="149"/>
        <v>0.377</v>
      </c>
      <c r="BB66" s="197">
        <f>((AW66*$AW$62)+(AX66*$AX$62)+(AY66*$AY$62)+(AZ66*$AZ$62)+(BA66*$BA$62))/$BB$62</f>
        <v>0.3180319660075176</v>
      </c>
      <c r="BC66" s="242">
        <f>C66</f>
        <v>0.20100000000000001</v>
      </c>
      <c r="BD66" s="196">
        <f>L66</f>
        <v>0.38200000000000001</v>
      </c>
      <c r="BE66" s="239">
        <f t="shared" si="150"/>
        <v>0.377</v>
      </c>
      <c r="BF66" s="239">
        <f>((BC66*$BC$62)+(BD66*$BD$62))/$BF$62</f>
        <v>0.17472438990762443</v>
      </c>
      <c r="BG66" s="242">
        <f t="shared" si="151"/>
        <v>0.38200000000000001</v>
      </c>
      <c r="BH66" s="196">
        <f>M66</f>
        <v>0.16800000000000001</v>
      </c>
      <c r="BI66" s="196">
        <f>N66</f>
        <v>0.10199999999999999</v>
      </c>
      <c r="BJ66" s="239">
        <f t="shared" si="152"/>
        <v>0.377</v>
      </c>
      <c r="BK66" s="239">
        <f t="shared" si="41"/>
        <v>0.14199999999999999</v>
      </c>
      <c r="BL66" s="239">
        <f t="shared" si="42"/>
        <v>0.189</v>
      </c>
      <c r="BM66" s="197">
        <f>((BG66*$BG$62)+(BH66*$BH$62)+(BI66*$BI$62)+(BJ66*$BJ$62)+(BK66*$BK$62)+(BL66*$BL$62))/$BM$62</f>
        <v>0.19792446752828444</v>
      </c>
      <c r="BN66" s="259">
        <f t="shared" si="153"/>
        <v>0.20100000000000001</v>
      </c>
      <c r="BO66" s="196">
        <f t="shared" si="153"/>
        <v>0.30299999999999999</v>
      </c>
      <c r="BP66" s="196">
        <f t="shared" si="154"/>
        <v>0.10199999999999999</v>
      </c>
      <c r="BQ66" s="239">
        <f t="shared" si="154"/>
        <v>0.246</v>
      </c>
      <c r="BR66" s="197">
        <f>((BN66*$BN$62)+(BO66*$BO$62)+(BP66*$BP$62)+(BQ66*$BQ$62))/$BR$62</f>
        <v>0.18629963475672995</v>
      </c>
    </row>
  </sheetData>
  <sheetProtection password="891C" sheet="1" objects="1" scenarios="1"/>
  <mergeCells count="8">
    <mergeCell ref="BN1:BR1"/>
    <mergeCell ref="BG1:BM1"/>
    <mergeCell ref="A1:W1"/>
    <mergeCell ref="X1:AI1"/>
    <mergeCell ref="AJ1:AP1"/>
    <mergeCell ref="AQ1:AV1"/>
    <mergeCell ref="AW1:BB1"/>
    <mergeCell ref="BC1:BF1"/>
  </mergeCells>
  <pageMargins left="0.7" right="0.7" top="0.75" bottom="0.75" header="0.3" footer="0.3"/>
  <pageSetup orientation="portrait" verticalDpi="0" r:id="rId1"/>
  <ignoredErrors>
    <ignoredError sqref="AD35:AH35 AJ35:AP35"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8"/>
  <sheetViews>
    <sheetView topLeftCell="B37" zoomScale="70" zoomScaleNormal="70" workbookViewId="0">
      <selection activeCell="C81" sqref="C81:C84"/>
    </sheetView>
  </sheetViews>
  <sheetFormatPr defaultRowHeight="15" x14ac:dyDescent="0.25"/>
  <cols>
    <col min="2" max="2" width="25.7109375" style="264" customWidth="1"/>
    <col min="3" max="9" width="25.7109375" customWidth="1"/>
  </cols>
  <sheetData>
    <row r="2" spans="2:9" x14ac:dyDescent="0.25">
      <c r="B2" s="264" t="s">
        <v>796</v>
      </c>
    </row>
    <row r="3" spans="2:9" x14ac:dyDescent="0.25">
      <c r="B3" s="263" t="s">
        <v>544</v>
      </c>
      <c r="C3" s="262" t="s">
        <v>545</v>
      </c>
      <c r="D3" s="262" t="s">
        <v>546</v>
      </c>
      <c r="E3" s="262" t="s">
        <v>547</v>
      </c>
      <c r="F3" s="262" t="s">
        <v>548</v>
      </c>
      <c r="G3" s="262" t="s">
        <v>549</v>
      </c>
      <c r="H3" s="262" t="s">
        <v>550</v>
      </c>
      <c r="I3" s="262" t="s">
        <v>551</v>
      </c>
    </row>
    <row r="4" spans="2:9" x14ac:dyDescent="0.25">
      <c r="B4" s="265">
        <v>2011</v>
      </c>
      <c r="C4" s="269">
        <v>74</v>
      </c>
      <c r="D4" s="269">
        <v>157</v>
      </c>
      <c r="E4" s="269">
        <v>158</v>
      </c>
      <c r="F4" s="269">
        <v>0</v>
      </c>
      <c r="G4" s="269">
        <v>23</v>
      </c>
      <c r="H4" s="269">
        <v>13</v>
      </c>
      <c r="I4" s="271">
        <v>0</v>
      </c>
    </row>
    <row r="5" spans="2:9" x14ac:dyDescent="0.25">
      <c r="B5" s="265">
        <v>2012</v>
      </c>
      <c r="C5" s="269">
        <v>90</v>
      </c>
      <c r="D5" s="269">
        <v>176</v>
      </c>
      <c r="E5" s="269">
        <v>176</v>
      </c>
      <c r="F5" s="269">
        <v>0</v>
      </c>
      <c r="G5" s="269">
        <v>16</v>
      </c>
      <c r="H5" s="269">
        <v>11</v>
      </c>
      <c r="I5" s="271">
        <v>0</v>
      </c>
    </row>
    <row r="6" spans="2:9" x14ac:dyDescent="0.25">
      <c r="B6" s="265">
        <v>2013</v>
      </c>
      <c r="C6" s="269">
        <v>98</v>
      </c>
      <c r="D6" s="269">
        <v>189</v>
      </c>
      <c r="E6" s="269">
        <v>193</v>
      </c>
      <c r="F6" s="269">
        <v>0</v>
      </c>
      <c r="G6" s="269">
        <v>13</v>
      </c>
      <c r="H6" s="269">
        <v>11</v>
      </c>
      <c r="I6" s="271">
        <v>0</v>
      </c>
    </row>
    <row r="7" spans="2:9" x14ac:dyDescent="0.25">
      <c r="B7" s="265">
        <v>2014</v>
      </c>
      <c r="C7" s="269">
        <v>98</v>
      </c>
      <c r="D7" s="269">
        <v>193</v>
      </c>
      <c r="E7" s="269">
        <v>195</v>
      </c>
      <c r="F7" s="269">
        <v>0</v>
      </c>
      <c r="G7" s="269">
        <v>12</v>
      </c>
      <c r="H7" s="269">
        <v>10</v>
      </c>
      <c r="I7" s="271">
        <v>0</v>
      </c>
    </row>
    <row r="8" spans="2:9" x14ac:dyDescent="0.25">
      <c r="B8" s="265">
        <v>2015</v>
      </c>
      <c r="C8" s="269">
        <v>100</v>
      </c>
      <c r="D8" s="269">
        <v>200</v>
      </c>
      <c r="E8" s="269">
        <v>203</v>
      </c>
      <c r="F8" s="269">
        <v>0</v>
      </c>
      <c r="G8" s="269">
        <v>28</v>
      </c>
      <c r="H8" s="269">
        <v>16</v>
      </c>
      <c r="I8" s="271">
        <v>0</v>
      </c>
    </row>
    <row r="9" spans="2:9" x14ac:dyDescent="0.25">
      <c r="B9" s="265">
        <v>2016</v>
      </c>
      <c r="C9" s="269">
        <v>14</v>
      </c>
      <c r="D9" s="269">
        <v>29</v>
      </c>
      <c r="E9" s="269">
        <v>29</v>
      </c>
      <c r="F9" s="269">
        <v>0</v>
      </c>
      <c r="G9" s="269">
        <v>1</v>
      </c>
      <c r="H9" s="269">
        <v>1</v>
      </c>
      <c r="I9" s="271">
        <v>0</v>
      </c>
    </row>
    <row r="10" spans="2:9" x14ac:dyDescent="0.25">
      <c r="B10" s="267" t="s">
        <v>1</v>
      </c>
      <c r="C10" s="270" t="s">
        <v>552</v>
      </c>
      <c r="D10" s="270" t="s">
        <v>553</v>
      </c>
      <c r="E10" s="270" t="s">
        <v>554</v>
      </c>
      <c r="F10" s="270" t="s">
        <v>555</v>
      </c>
      <c r="G10" s="270" t="s">
        <v>556</v>
      </c>
      <c r="H10" s="270" t="s">
        <v>557</v>
      </c>
      <c r="I10" s="272">
        <f>SUM(I4:I9)</f>
        <v>0</v>
      </c>
    </row>
    <row r="12" spans="2:9" x14ac:dyDescent="0.25">
      <c r="B12" s="264" t="s">
        <v>797</v>
      </c>
    </row>
    <row r="13" spans="2:9" x14ac:dyDescent="0.25">
      <c r="B13" s="263" t="s">
        <v>544</v>
      </c>
      <c r="C13" s="262" t="s">
        <v>545</v>
      </c>
      <c r="D13" s="262" t="s">
        <v>546</v>
      </c>
      <c r="E13" s="262" t="s">
        <v>547</v>
      </c>
      <c r="F13" s="262" t="s">
        <v>548</v>
      </c>
      <c r="G13" s="262" t="s">
        <v>549</v>
      </c>
      <c r="H13" s="262" t="s">
        <v>550</v>
      </c>
      <c r="I13" s="262" t="s">
        <v>551</v>
      </c>
    </row>
    <row r="14" spans="2:9" x14ac:dyDescent="0.25">
      <c r="B14" s="265">
        <v>2011</v>
      </c>
      <c r="C14" s="269">
        <v>1</v>
      </c>
      <c r="D14" s="269">
        <v>1</v>
      </c>
      <c r="E14" s="269">
        <v>2</v>
      </c>
      <c r="F14" s="269">
        <v>0</v>
      </c>
      <c r="G14" s="269">
        <v>1</v>
      </c>
      <c r="H14" s="269">
        <v>1</v>
      </c>
      <c r="I14" s="271">
        <v>0</v>
      </c>
    </row>
    <row r="15" spans="2:9" s="4" customFormat="1" x14ac:dyDescent="0.25">
      <c r="B15" s="265">
        <v>2012</v>
      </c>
      <c r="C15" s="269"/>
      <c r="D15" s="269"/>
      <c r="E15" s="269"/>
      <c r="F15" s="269"/>
      <c r="G15" s="269"/>
      <c r="H15" s="269"/>
      <c r="I15" s="271">
        <v>0</v>
      </c>
    </row>
    <row r="16" spans="2:9" x14ac:dyDescent="0.25">
      <c r="B16" s="265">
        <v>2013</v>
      </c>
      <c r="C16" s="269">
        <v>3</v>
      </c>
      <c r="D16" s="269">
        <v>3</v>
      </c>
      <c r="E16" s="269">
        <v>6</v>
      </c>
      <c r="F16" s="269">
        <v>0</v>
      </c>
      <c r="G16" s="269">
        <v>3</v>
      </c>
      <c r="H16" s="269">
        <v>3</v>
      </c>
      <c r="I16" s="271">
        <v>0</v>
      </c>
    </row>
    <row r="17" spans="2:9" x14ac:dyDescent="0.25">
      <c r="B17" s="265">
        <v>2014</v>
      </c>
      <c r="C17" s="269">
        <v>2</v>
      </c>
      <c r="D17" s="269">
        <v>2</v>
      </c>
      <c r="E17" s="269">
        <v>4</v>
      </c>
      <c r="F17" s="269">
        <v>0</v>
      </c>
      <c r="G17" s="269">
        <v>2</v>
      </c>
      <c r="H17" s="269">
        <v>2</v>
      </c>
      <c r="I17" s="271">
        <v>0</v>
      </c>
    </row>
    <row r="18" spans="2:9" x14ac:dyDescent="0.25">
      <c r="B18" s="265">
        <v>2015</v>
      </c>
      <c r="C18" s="269">
        <v>3</v>
      </c>
      <c r="D18" s="269">
        <v>3</v>
      </c>
      <c r="E18" s="269">
        <v>6</v>
      </c>
      <c r="F18" s="269">
        <v>0</v>
      </c>
      <c r="G18" s="269">
        <v>3</v>
      </c>
      <c r="H18" s="269">
        <v>3</v>
      </c>
      <c r="I18" s="271">
        <v>0</v>
      </c>
    </row>
    <row r="19" spans="2:9" x14ac:dyDescent="0.25">
      <c r="B19" s="267" t="s">
        <v>1</v>
      </c>
      <c r="C19" s="270" t="s">
        <v>558</v>
      </c>
      <c r="D19" s="270" t="s">
        <v>558</v>
      </c>
      <c r="E19" s="270" t="s">
        <v>559</v>
      </c>
      <c r="F19" s="270" t="s">
        <v>555</v>
      </c>
      <c r="G19" s="270" t="s">
        <v>558</v>
      </c>
      <c r="H19" s="270" t="s">
        <v>558</v>
      </c>
      <c r="I19" s="271">
        <v>0</v>
      </c>
    </row>
    <row r="20" spans="2:9" x14ac:dyDescent="0.25">
      <c r="I20" s="272">
        <f>SUM(I14:I19)</f>
        <v>0</v>
      </c>
    </row>
    <row r="21" spans="2:9" x14ac:dyDescent="0.25">
      <c r="B21" s="264" t="s">
        <v>560</v>
      </c>
    </row>
    <row r="22" spans="2:9" x14ac:dyDescent="0.25">
      <c r="B22" s="263" t="s">
        <v>544</v>
      </c>
      <c r="C22" s="262" t="s">
        <v>545</v>
      </c>
      <c r="D22" s="262" t="s">
        <v>546</v>
      </c>
      <c r="E22" s="262" t="s">
        <v>547</v>
      </c>
      <c r="F22" s="262" t="s">
        <v>548</v>
      </c>
      <c r="G22" s="262" t="s">
        <v>549</v>
      </c>
      <c r="H22" s="262" t="s">
        <v>550</v>
      </c>
      <c r="I22" s="262" t="s">
        <v>551</v>
      </c>
    </row>
    <row r="23" spans="2:9" x14ac:dyDescent="0.25">
      <c r="B23" s="265">
        <v>2011</v>
      </c>
      <c r="C23" s="269">
        <v>233</v>
      </c>
      <c r="D23" s="269">
        <v>489</v>
      </c>
      <c r="E23" s="269">
        <v>490</v>
      </c>
      <c r="F23" s="269">
        <v>0</v>
      </c>
      <c r="G23" s="269">
        <v>76</v>
      </c>
      <c r="H23" s="269">
        <v>50</v>
      </c>
      <c r="I23" s="271">
        <v>0</v>
      </c>
    </row>
    <row r="24" spans="2:9" x14ac:dyDescent="0.25">
      <c r="B24" s="265">
        <v>2012</v>
      </c>
      <c r="C24" s="269">
        <v>258</v>
      </c>
      <c r="D24" s="269">
        <v>529</v>
      </c>
      <c r="E24" s="269">
        <v>530</v>
      </c>
      <c r="F24" s="269">
        <v>0</v>
      </c>
      <c r="G24" s="269">
        <v>80</v>
      </c>
      <c r="H24" s="269">
        <v>54</v>
      </c>
      <c r="I24" s="271">
        <v>0</v>
      </c>
    </row>
    <row r="25" spans="2:9" x14ac:dyDescent="0.25">
      <c r="B25" s="265">
        <v>2013</v>
      </c>
      <c r="C25" s="269">
        <v>283</v>
      </c>
      <c r="D25" s="269">
        <v>561</v>
      </c>
      <c r="E25" s="269">
        <v>568</v>
      </c>
      <c r="F25" s="269">
        <v>0</v>
      </c>
      <c r="G25" s="269">
        <v>86</v>
      </c>
      <c r="H25" s="269">
        <v>60</v>
      </c>
      <c r="I25" s="271">
        <v>0</v>
      </c>
    </row>
    <row r="26" spans="2:9" x14ac:dyDescent="0.25">
      <c r="B26" s="265">
        <v>2014</v>
      </c>
      <c r="C26" s="269">
        <v>285</v>
      </c>
      <c r="D26" s="269">
        <v>580</v>
      </c>
      <c r="E26" s="269">
        <v>584</v>
      </c>
      <c r="F26" s="269">
        <v>0</v>
      </c>
      <c r="G26" s="269">
        <v>49</v>
      </c>
      <c r="H26" s="269">
        <v>41</v>
      </c>
      <c r="I26" s="271">
        <v>0</v>
      </c>
    </row>
    <row r="27" spans="2:9" x14ac:dyDescent="0.25">
      <c r="B27" s="265">
        <v>2015</v>
      </c>
      <c r="C27" s="269">
        <v>328</v>
      </c>
      <c r="D27" s="269">
        <v>685</v>
      </c>
      <c r="E27" s="269">
        <v>693</v>
      </c>
      <c r="F27" s="269">
        <v>0</v>
      </c>
      <c r="G27" s="269">
        <v>106</v>
      </c>
      <c r="H27" s="269">
        <v>64</v>
      </c>
      <c r="I27" s="271">
        <v>0</v>
      </c>
    </row>
    <row r="28" spans="2:9" x14ac:dyDescent="0.25">
      <c r="B28" s="265">
        <v>2016</v>
      </c>
      <c r="C28" s="269">
        <v>49</v>
      </c>
      <c r="D28" s="269">
        <v>95</v>
      </c>
      <c r="E28" s="269">
        <v>95</v>
      </c>
      <c r="F28" s="269">
        <v>0</v>
      </c>
      <c r="G28" s="269">
        <v>11</v>
      </c>
      <c r="H28" s="269">
        <v>7</v>
      </c>
      <c r="I28" s="271">
        <v>0</v>
      </c>
    </row>
    <row r="29" spans="2:9" x14ac:dyDescent="0.25">
      <c r="B29" s="267" t="s">
        <v>1</v>
      </c>
      <c r="C29" s="268" t="s">
        <v>561</v>
      </c>
      <c r="D29" s="268" t="s">
        <v>562</v>
      </c>
      <c r="E29" s="268" t="s">
        <v>563</v>
      </c>
      <c r="F29" s="268" t="s">
        <v>555</v>
      </c>
      <c r="G29" s="268" t="s">
        <v>564</v>
      </c>
      <c r="H29" s="268" t="s">
        <v>565</v>
      </c>
      <c r="I29" s="272">
        <f>SUM(I23:I28)</f>
        <v>0</v>
      </c>
    </row>
    <row r="31" spans="2:9" x14ac:dyDescent="0.25">
      <c r="B31" s="264" t="s">
        <v>566</v>
      </c>
    </row>
    <row r="32" spans="2:9" x14ac:dyDescent="0.25">
      <c r="B32" s="263" t="s">
        <v>544</v>
      </c>
      <c r="C32" s="262" t="s">
        <v>545</v>
      </c>
      <c r="D32" s="262" t="s">
        <v>546</v>
      </c>
      <c r="E32" s="262" t="s">
        <v>547</v>
      </c>
      <c r="F32" s="262" t="s">
        <v>548</v>
      </c>
      <c r="G32" s="262" t="s">
        <v>549</v>
      </c>
      <c r="H32" s="262" t="s">
        <v>550</v>
      </c>
      <c r="I32" s="262" t="s">
        <v>551</v>
      </c>
    </row>
    <row r="33" spans="2:9" x14ac:dyDescent="0.25">
      <c r="B33" s="265">
        <v>2011</v>
      </c>
      <c r="C33" s="269">
        <v>1</v>
      </c>
      <c r="D33" s="269">
        <v>1</v>
      </c>
      <c r="E33" s="269">
        <v>2</v>
      </c>
      <c r="F33" s="269">
        <v>0</v>
      </c>
      <c r="G33" s="269">
        <v>1</v>
      </c>
      <c r="H33" s="269">
        <v>1</v>
      </c>
      <c r="I33" s="271">
        <v>0</v>
      </c>
    </row>
    <row r="34" spans="2:9" x14ac:dyDescent="0.25">
      <c r="B34" s="265">
        <v>2012</v>
      </c>
      <c r="C34" s="269">
        <v>1</v>
      </c>
      <c r="D34" s="269">
        <v>1</v>
      </c>
      <c r="E34" s="269">
        <v>2</v>
      </c>
      <c r="F34" s="269">
        <v>0</v>
      </c>
      <c r="G34" s="269">
        <v>1</v>
      </c>
      <c r="H34" s="269">
        <v>1</v>
      </c>
      <c r="I34" s="271">
        <v>0</v>
      </c>
    </row>
    <row r="35" spans="2:9" x14ac:dyDescent="0.25">
      <c r="B35" s="265">
        <v>2013</v>
      </c>
      <c r="C35" s="269">
        <v>7</v>
      </c>
      <c r="D35" s="269">
        <v>7</v>
      </c>
      <c r="E35" s="269">
        <v>14</v>
      </c>
      <c r="F35" s="269">
        <v>0</v>
      </c>
      <c r="G35" s="269">
        <v>7</v>
      </c>
      <c r="H35" s="269">
        <v>7</v>
      </c>
      <c r="I35" s="271">
        <v>0</v>
      </c>
    </row>
    <row r="36" spans="2:9" x14ac:dyDescent="0.25">
      <c r="B36" s="265">
        <v>2014</v>
      </c>
      <c r="C36" s="269">
        <v>4</v>
      </c>
      <c r="D36" s="269">
        <v>4</v>
      </c>
      <c r="E36" s="269">
        <v>8</v>
      </c>
      <c r="F36" s="269">
        <v>0</v>
      </c>
      <c r="G36" s="269">
        <v>4</v>
      </c>
      <c r="H36" s="269">
        <v>4</v>
      </c>
      <c r="I36" s="271">
        <v>0</v>
      </c>
    </row>
    <row r="37" spans="2:9" x14ac:dyDescent="0.25">
      <c r="B37" s="265">
        <v>2015</v>
      </c>
      <c r="C37" s="269">
        <v>3</v>
      </c>
      <c r="D37" s="269">
        <v>3</v>
      </c>
      <c r="E37" s="269">
        <v>6</v>
      </c>
      <c r="F37" s="269">
        <v>0</v>
      </c>
      <c r="G37" s="269">
        <v>3</v>
      </c>
      <c r="H37" s="269">
        <v>3</v>
      </c>
      <c r="I37" s="271">
        <v>0</v>
      </c>
    </row>
    <row r="38" spans="2:9" x14ac:dyDescent="0.25">
      <c r="B38" s="267" t="s">
        <v>1</v>
      </c>
      <c r="C38" s="270" t="s">
        <v>567</v>
      </c>
      <c r="D38" s="270" t="s">
        <v>567</v>
      </c>
      <c r="E38" s="270" t="s">
        <v>568</v>
      </c>
      <c r="F38" s="270" t="s">
        <v>555</v>
      </c>
      <c r="G38" s="270" t="s">
        <v>567</v>
      </c>
      <c r="H38" s="270" t="s">
        <v>567</v>
      </c>
      <c r="I38" s="273">
        <f>SUM(I33:I37)</f>
        <v>0</v>
      </c>
    </row>
    <row r="39" spans="2:9" x14ac:dyDescent="0.25">
      <c r="I39" s="272"/>
    </row>
    <row r="40" spans="2:9" s="4" customFormat="1" x14ac:dyDescent="0.25">
      <c r="B40" s="264" t="s">
        <v>543</v>
      </c>
    </row>
    <row r="41" spans="2:9" s="4" customFormat="1" x14ac:dyDescent="0.25">
      <c r="B41" s="324" t="s">
        <v>544</v>
      </c>
      <c r="C41" s="324" t="s">
        <v>545</v>
      </c>
      <c r="D41" s="324" t="s">
        <v>546</v>
      </c>
      <c r="E41" s="324" t="s">
        <v>547</v>
      </c>
      <c r="F41" s="324" t="s">
        <v>548</v>
      </c>
      <c r="G41" s="324" t="s">
        <v>549</v>
      </c>
      <c r="H41" s="324" t="s">
        <v>550</v>
      </c>
      <c r="I41" s="324" t="s">
        <v>551</v>
      </c>
    </row>
    <row r="42" spans="2:9" s="4" customFormat="1" x14ac:dyDescent="0.25">
      <c r="B42" s="325">
        <v>2011</v>
      </c>
      <c r="C42" s="325">
        <v>243</v>
      </c>
      <c r="D42" s="325">
        <v>507</v>
      </c>
      <c r="E42" s="325">
        <v>507</v>
      </c>
      <c r="F42" s="325">
        <v>0</v>
      </c>
      <c r="G42" s="325">
        <v>83</v>
      </c>
      <c r="H42" s="325">
        <v>54</v>
      </c>
      <c r="I42" s="326"/>
    </row>
    <row r="43" spans="2:9" s="4" customFormat="1" x14ac:dyDescent="0.25">
      <c r="B43" s="325">
        <v>2012</v>
      </c>
      <c r="C43" s="325">
        <v>270</v>
      </c>
      <c r="D43" s="325">
        <v>558</v>
      </c>
      <c r="E43" s="325">
        <v>559</v>
      </c>
      <c r="F43" s="325">
        <v>0</v>
      </c>
      <c r="G43" s="325">
        <v>89</v>
      </c>
      <c r="H43" s="325">
        <v>58</v>
      </c>
      <c r="I43" s="326"/>
    </row>
    <row r="44" spans="2:9" s="4" customFormat="1" x14ac:dyDescent="0.25">
      <c r="B44" s="325">
        <v>2013</v>
      </c>
      <c r="C44" s="325">
        <v>290</v>
      </c>
      <c r="D44" s="325">
        <v>574</v>
      </c>
      <c r="E44" s="325">
        <v>581</v>
      </c>
      <c r="F44" s="325">
        <v>0</v>
      </c>
      <c r="G44" s="325">
        <v>89</v>
      </c>
      <c r="H44" s="325">
        <v>62</v>
      </c>
      <c r="I44" s="326"/>
    </row>
    <row r="45" spans="2:9" s="4" customFormat="1" x14ac:dyDescent="0.25">
      <c r="B45" s="325">
        <v>2014</v>
      </c>
      <c r="C45" s="325">
        <v>294</v>
      </c>
      <c r="D45" s="325">
        <v>597</v>
      </c>
      <c r="E45" s="325">
        <v>602</v>
      </c>
      <c r="F45" s="325">
        <v>0</v>
      </c>
      <c r="G45" s="325">
        <v>52</v>
      </c>
      <c r="H45" s="325">
        <v>44</v>
      </c>
      <c r="I45" s="326"/>
    </row>
    <row r="46" spans="2:9" s="4" customFormat="1" x14ac:dyDescent="0.25">
      <c r="B46" s="325">
        <v>2015</v>
      </c>
      <c r="C46" s="325">
        <v>334</v>
      </c>
      <c r="D46" s="325">
        <v>696</v>
      </c>
      <c r="E46" s="325">
        <v>704</v>
      </c>
      <c r="F46" s="325">
        <v>0</v>
      </c>
      <c r="G46" s="325">
        <v>106</v>
      </c>
      <c r="H46" s="325">
        <v>64</v>
      </c>
      <c r="I46" s="326"/>
    </row>
    <row r="47" spans="2:9" s="4" customFormat="1" x14ac:dyDescent="0.25">
      <c r="B47" s="325">
        <v>2016</v>
      </c>
      <c r="C47" s="325">
        <v>51</v>
      </c>
      <c r="D47" s="325">
        <v>97</v>
      </c>
      <c r="E47" s="325">
        <v>97</v>
      </c>
      <c r="F47" s="325">
        <v>0</v>
      </c>
      <c r="G47" s="325">
        <v>12</v>
      </c>
      <c r="H47" s="325">
        <v>8</v>
      </c>
      <c r="I47" s="326"/>
    </row>
    <row r="48" spans="2:9" s="4" customFormat="1" x14ac:dyDescent="0.25">
      <c r="B48" s="267" t="s">
        <v>1</v>
      </c>
      <c r="C48" s="268">
        <f>SUM(C42:C47)</f>
        <v>1482</v>
      </c>
      <c r="D48" s="268">
        <f t="shared" ref="D48:I48" si="0">SUM(D42:D47)</f>
        <v>3029</v>
      </c>
      <c r="E48" s="268">
        <f t="shared" si="0"/>
        <v>3050</v>
      </c>
      <c r="F48" s="268">
        <f t="shared" si="0"/>
        <v>0</v>
      </c>
      <c r="G48" s="268">
        <f t="shared" si="0"/>
        <v>431</v>
      </c>
      <c r="H48" s="268">
        <f t="shared" si="0"/>
        <v>290</v>
      </c>
      <c r="I48" s="268">
        <f t="shared" si="0"/>
        <v>0</v>
      </c>
    </row>
    <row r="49" spans="2:9" s="4" customFormat="1" x14ac:dyDescent="0.25">
      <c r="B49" s="264"/>
    </row>
    <row r="50" spans="2:9" s="4" customFormat="1" x14ac:dyDescent="0.25">
      <c r="B50" s="264" t="s">
        <v>798</v>
      </c>
    </row>
    <row r="51" spans="2:9" s="4" customFormat="1" x14ac:dyDescent="0.25">
      <c r="B51" s="263" t="s">
        <v>544</v>
      </c>
      <c r="C51" s="324" t="s">
        <v>545</v>
      </c>
      <c r="D51" s="324" t="s">
        <v>546</v>
      </c>
      <c r="E51" s="324" t="s">
        <v>547</v>
      </c>
      <c r="F51" s="324" t="s">
        <v>548</v>
      </c>
      <c r="G51" s="324" t="s">
        <v>549</v>
      </c>
      <c r="H51" s="324" t="s">
        <v>550</v>
      </c>
      <c r="I51" s="324" t="s">
        <v>551</v>
      </c>
    </row>
    <row r="52" spans="2:9" s="4" customFormat="1" x14ac:dyDescent="0.25">
      <c r="B52" s="265">
        <v>2011</v>
      </c>
      <c r="C52" s="269">
        <v>1</v>
      </c>
      <c r="D52" s="269">
        <v>1</v>
      </c>
      <c r="E52" s="269">
        <v>2</v>
      </c>
      <c r="F52" s="269">
        <v>0</v>
      </c>
      <c r="G52" s="269">
        <v>1</v>
      </c>
      <c r="H52" s="269">
        <v>1</v>
      </c>
      <c r="I52" s="271">
        <v>0</v>
      </c>
    </row>
    <row r="53" spans="2:9" s="4" customFormat="1" x14ac:dyDescent="0.25">
      <c r="B53" s="265">
        <v>2012</v>
      </c>
      <c r="C53" s="325">
        <v>1</v>
      </c>
      <c r="D53" s="325">
        <v>1</v>
      </c>
      <c r="E53" s="325">
        <v>2</v>
      </c>
      <c r="F53" s="325">
        <v>0</v>
      </c>
      <c r="G53" s="325">
        <v>1</v>
      </c>
      <c r="H53" s="325">
        <v>1</v>
      </c>
      <c r="I53" s="326"/>
    </row>
    <row r="54" spans="2:9" s="4" customFormat="1" x14ac:dyDescent="0.25">
      <c r="B54" s="265">
        <v>2013</v>
      </c>
      <c r="C54" s="325">
        <v>7</v>
      </c>
      <c r="D54" s="325">
        <v>7</v>
      </c>
      <c r="E54" s="325">
        <v>14</v>
      </c>
      <c r="F54" s="325">
        <v>0</v>
      </c>
      <c r="G54" s="325">
        <v>7</v>
      </c>
      <c r="H54" s="325">
        <v>7</v>
      </c>
      <c r="I54" s="326"/>
    </row>
    <row r="55" spans="2:9" s="4" customFormat="1" x14ac:dyDescent="0.25">
      <c r="B55" s="265">
        <v>2014</v>
      </c>
      <c r="C55" s="325">
        <v>5</v>
      </c>
      <c r="D55" s="325">
        <v>5</v>
      </c>
      <c r="E55" s="325">
        <v>10</v>
      </c>
      <c r="F55" s="325">
        <v>0</v>
      </c>
      <c r="G55" s="325">
        <v>5</v>
      </c>
      <c r="H55" s="325">
        <v>5</v>
      </c>
      <c r="I55" s="326"/>
    </row>
    <row r="56" spans="2:9" s="4" customFormat="1" x14ac:dyDescent="0.25">
      <c r="B56" s="265">
        <v>2015</v>
      </c>
      <c r="C56" s="325">
        <v>3</v>
      </c>
      <c r="D56" s="325">
        <v>3</v>
      </c>
      <c r="E56" s="325">
        <v>6</v>
      </c>
      <c r="F56" s="325">
        <v>0</v>
      </c>
      <c r="G56" s="325">
        <v>3</v>
      </c>
      <c r="H56" s="325">
        <v>3</v>
      </c>
      <c r="I56" s="326"/>
    </row>
    <row r="57" spans="2:9" s="4" customFormat="1" x14ac:dyDescent="0.25">
      <c r="B57" s="267" t="s">
        <v>1</v>
      </c>
      <c r="C57" s="1">
        <f>SUM(C52:C56)</f>
        <v>17</v>
      </c>
      <c r="D57" s="1">
        <f t="shared" ref="D57:I57" si="1">SUM(D52:D56)</f>
        <v>17</v>
      </c>
      <c r="E57" s="1">
        <f t="shared" si="1"/>
        <v>34</v>
      </c>
      <c r="F57" s="1">
        <f t="shared" si="1"/>
        <v>0</v>
      </c>
      <c r="G57" s="1">
        <f t="shared" si="1"/>
        <v>17</v>
      </c>
      <c r="H57" s="1">
        <f t="shared" si="1"/>
        <v>17</v>
      </c>
      <c r="I57" s="1">
        <f t="shared" si="1"/>
        <v>0</v>
      </c>
    </row>
    <row r="58" spans="2:9" s="4" customFormat="1" x14ac:dyDescent="0.25">
      <c r="B58" s="264"/>
      <c r="I58" s="323"/>
    </row>
    <row r="59" spans="2:9" x14ac:dyDescent="0.25">
      <c r="B59" s="264" t="s">
        <v>569</v>
      </c>
    </row>
    <row r="61" spans="2:9" x14ac:dyDescent="0.25">
      <c r="B61" s="264" t="s">
        <v>570</v>
      </c>
    </row>
    <row r="62" spans="2:9" x14ac:dyDescent="0.25">
      <c r="B62" s="263" t="s">
        <v>544</v>
      </c>
      <c r="C62" s="262" t="s">
        <v>545</v>
      </c>
      <c r="D62" s="262" t="s">
        <v>546</v>
      </c>
      <c r="E62" s="262" t="s">
        <v>547</v>
      </c>
      <c r="F62" s="262" t="s">
        <v>548</v>
      </c>
      <c r="G62" s="262" t="s">
        <v>549</v>
      </c>
      <c r="H62" s="262" t="s">
        <v>571</v>
      </c>
      <c r="I62" s="262" t="s">
        <v>572</v>
      </c>
    </row>
    <row r="63" spans="2:9" x14ac:dyDescent="0.25">
      <c r="B63" s="265" t="s">
        <v>573</v>
      </c>
      <c r="C63" s="269">
        <v>278</v>
      </c>
      <c r="D63" s="269">
        <v>578</v>
      </c>
      <c r="E63" s="269">
        <v>578</v>
      </c>
      <c r="F63" s="269">
        <v>0</v>
      </c>
      <c r="G63" s="269">
        <v>81</v>
      </c>
      <c r="H63" s="269">
        <v>55</v>
      </c>
      <c r="I63" s="271">
        <v>0</v>
      </c>
    </row>
    <row r="64" spans="2:9" x14ac:dyDescent="0.25">
      <c r="B64" s="265" t="s">
        <v>574</v>
      </c>
      <c r="C64" s="269">
        <v>315</v>
      </c>
      <c r="D64" s="269">
        <v>644</v>
      </c>
      <c r="E64" s="269">
        <v>644</v>
      </c>
      <c r="F64" s="269">
        <v>0</v>
      </c>
      <c r="G64" s="269">
        <v>89</v>
      </c>
      <c r="H64" s="269">
        <v>62</v>
      </c>
      <c r="I64" s="271">
        <v>0</v>
      </c>
    </row>
    <row r="65" spans="2:9" x14ac:dyDescent="0.25">
      <c r="B65" s="265" t="s">
        <v>575</v>
      </c>
      <c r="C65" s="269">
        <v>325</v>
      </c>
      <c r="D65" s="269">
        <v>648</v>
      </c>
      <c r="E65" s="269">
        <v>649</v>
      </c>
      <c r="F65" s="269">
        <v>0</v>
      </c>
      <c r="G65" s="269">
        <v>86</v>
      </c>
      <c r="H65" s="269">
        <v>59</v>
      </c>
      <c r="I65" s="271">
        <v>0</v>
      </c>
    </row>
    <row r="66" spans="2:9" x14ac:dyDescent="0.25">
      <c r="B66" s="265" t="s">
        <v>576</v>
      </c>
      <c r="C66" s="269">
        <v>340</v>
      </c>
      <c r="D66" s="269">
        <v>694</v>
      </c>
      <c r="E66" s="269">
        <v>694</v>
      </c>
      <c r="F66" s="269">
        <v>0</v>
      </c>
      <c r="G66" s="269">
        <v>68</v>
      </c>
      <c r="H66" s="269">
        <v>48</v>
      </c>
      <c r="I66" s="271">
        <v>0</v>
      </c>
    </row>
    <row r="67" spans="2:9" x14ac:dyDescent="0.25">
      <c r="B67" s="265" t="s">
        <v>577</v>
      </c>
      <c r="C67" s="269">
        <v>399</v>
      </c>
      <c r="D67" s="269">
        <v>822</v>
      </c>
      <c r="E67" s="269">
        <v>829</v>
      </c>
      <c r="F67" s="269">
        <v>0</v>
      </c>
      <c r="G67" s="269">
        <v>115</v>
      </c>
      <c r="H67" s="269">
        <v>69</v>
      </c>
      <c r="I67" s="271">
        <v>0</v>
      </c>
    </row>
    <row r="68" spans="2:9" x14ac:dyDescent="0.25">
      <c r="B68" s="265" t="s">
        <v>578</v>
      </c>
      <c r="C68" s="269">
        <v>58</v>
      </c>
      <c r="D68" s="269">
        <v>110</v>
      </c>
      <c r="E68" s="269">
        <v>110</v>
      </c>
      <c r="F68" s="269">
        <v>0</v>
      </c>
      <c r="G68" s="269">
        <v>11</v>
      </c>
      <c r="H68" s="269">
        <v>7</v>
      </c>
      <c r="I68" s="271">
        <v>0</v>
      </c>
    </row>
    <row r="69" spans="2:9" x14ac:dyDescent="0.25">
      <c r="B69" s="267" t="s">
        <v>1</v>
      </c>
      <c r="C69" s="270">
        <f>SUM(C63:C67)</f>
        <v>1657</v>
      </c>
      <c r="D69" s="270">
        <f t="shared" ref="D69:I69" si="2">SUM(D63:D67)</f>
        <v>3386</v>
      </c>
      <c r="E69" s="270">
        <f t="shared" si="2"/>
        <v>3394</v>
      </c>
      <c r="F69" s="270">
        <f t="shared" si="2"/>
        <v>0</v>
      </c>
      <c r="G69" s="270">
        <f t="shared" si="2"/>
        <v>439</v>
      </c>
      <c r="H69" s="270">
        <f t="shared" si="2"/>
        <v>293</v>
      </c>
      <c r="I69" s="272">
        <f t="shared" si="2"/>
        <v>0</v>
      </c>
    </row>
    <row r="71" spans="2:9" x14ac:dyDescent="0.25">
      <c r="B71" s="266" t="s">
        <v>579</v>
      </c>
    </row>
    <row r="72" spans="2:9" x14ac:dyDescent="0.25">
      <c r="B72" s="263" t="s">
        <v>544</v>
      </c>
      <c r="C72" s="262" t="s">
        <v>545</v>
      </c>
      <c r="D72" s="262" t="s">
        <v>546</v>
      </c>
      <c r="E72" s="262" t="s">
        <v>547</v>
      </c>
      <c r="F72" s="262" t="s">
        <v>548</v>
      </c>
      <c r="G72" s="262" t="s">
        <v>549</v>
      </c>
      <c r="H72" s="262" t="s">
        <v>550</v>
      </c>
      <c r="I72" s="262" t="s">
        <v>551</v>
      </c>
    </row>
    <row r="73" spans="2:9" x14ac:dyDescent="0.25">
      <c r="B73" s="265" t="s">
        <v>573</v>
      </c>
      <c r="C73" s="269">
        <v>1</v>
      </c>
      <c r="D73" s="269">
        <v>1</v>
      </c>
      <c r="E73" s="269">
        <v>2</v>
      </c>
      <c r="F73" s="269">
        <v>0</v>
      </c>
      <c r="G73" s="269">
        <v>1</v>
      </c>
      <c r="H73" s="269">
        <v>1</v>
      </c>
      <c r="I73" s="269">
        <v>0</v>
      </c>
    </row>
    <row r="74" spans="2:9" x14ac:dyDescent="0.25">
      <c r="B74" s="265" t="s">
        <v>574</v>
      </c>
      <c r="C74" s="269">
        <v>5</v>
      </c>
      <c r="D74" s="269">
        <v>6</v>
      </c>
      <c r="E74" s="269">
        <v>11</v>
      </c>
      <c r="F74" s="269">
        <v>1</v>
      </c>
      <c r="G74" s="269">
        <v>4</v>
      </c>
      <c r="H74" s="269">
        <v>4</v>
      </c>
      <c r="I74" s="269">
        <v>1</v>
      </c>
    </row>
    <row r="75" spans="2:9" x14ac:dyDescent="0.25">
      <c r="B75" s="265" t="s">
        <v>575</v>
      </c>
      <c r="C75" s="269">
        <v>10</v>
      </c>
      <c r="D75" s="269">
        <v>10</v>
      </c>
      <c r="E75" s="269">
        <v>20</v>
      </c>
      <c r="F75" s="269">
        <v>0</v>
      </c>
      <c r="G75" s="269">
        <v>9</v>
      </c>
      <c r="H75" s="269">
        <v>9</v>
      </c>
      <c r="I75" s="269">
        <v>0</v>
      </c>
    </row>
    <row r="76" spans="2:9" x14ac:dyDescent="0.25">
      <c r="B76" s="265" t="s">
        <v>576</v>
      </c>
      <c r="C76" s="269">
        <v>4</v>
      </c>
      <c r="D76" s="269">
        <v>4</v>
      </c>
      <c r="E76" s="269">
        <v>8</v>
      </c>
      <c r="F76" s="269">
        <v>0</v>
      </c>
      <c r="G76" s="269">
        <v>4</v>
      </c>
      <c r="H76" s="269">
        <v>4</v>
      </c>
      <c r="I76" s="269">
        <v>0</v>
      </c>
    </row>
    <row r="77" spans="2:9" x14ac:dyDescent="0.25">
      <c r="B77" s="265" t="s">
        <v>577</v>
      </c>
      <c r="C77" s="269">
        <v>4</v>
      </c>
      <c r="D77" s="269">
        <v>4</v>
      </c>
      <c r="E77" s="269">
        <v>8</v>
      </c>
      <c r="F77" s="269">
        <v>0</v>
      </c>
      <c r="G77" s="269">
        <v>4</v>
      </c>
      <c r="H77" s="269">
        <v>4</v>
      </c>
      <c r="I77" s="269">
        <v>0</v>
      </c>
    </row>
    <row r="78" spans="2:9" x14ac:dyDescent="0.25">
      <c r="B78" s="267" t="s">
        <v>1</v>
      </c>
      <c r="C78" s="270">
        <f>SUM(C73:C77)</f>
        <v>24</v>
      </c>
      <c r="D78" s="270">
        <f t="shared" ref="D78:I78" si="3">SUM(D73:D77)</f>
        <v>25</v>
      </c>
      <c r="E78" s="270">
        <f t="shared" si="3"/>
        <v>49</v>
      </c>
      <c r="F78" s="270">
        <f t="shared" si="3"/>
        <v>1</v>
      </c>
      <c r="G78" s="270">
        <f t="shared" si="3"/>
        <v>22</v>
      </c>
      <c r="H78" s="270">
        <f t="shared" si="3"/>
        <v>22</v>
      </c>
      <c r="I78" s="270">
        <f t="shared" si="3"/>
        <v>1</v>
      </c>
    </row>
  </sheetData>
  <sheetProtection password="891C" sheet="1" objects="1" scenarios="1"/>
  <pageMargins left="0.7" right="0.7" top="0.75" bottom="0.75" header="0.3" footer="0.3"/>
  <pageSetup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opLeftCell="A19" zoomScale="80" zoomScaleNormal="80" workbookViewId="0">
      <selection activeCell="G64" sqref="G64"/>
    </sheetView>
  </sheetViews>
  <sheetFormatPr defaultRowHeight="15" x14ac:dyDescent="0.25"/>
  <cols>
    <col min="1" max="1" width="44.28515625" style="233" customWidth="1"/>
    <col min="2" max="16" width="14.7109375" style="233" customWidth="1"/>
    <col min="17" max="16384" width="9.140625" style="233"/>
  </cols>
  <sheetData>
    <row r="1" spans="1:12" x14ac:dyDescent="0.25">
      <c r="A1" s="349" t="s">
        <v>446</v>
      </c>
      <c r="B1" s="751" t="s">
        <v>678</v>
      </c>
      <c r="C1" s="753"/>
      <c r="D1" s="753"/>
      <c r="E1" s="753"/>
      <c r="F1" s="753"/>
      <c r="G1" s="752"/>
      <c r="H1" s="751" t="s">
        <v>677</v>
      </c>
      <c r="I1" s="753"/>
      <c r="J1" s="752"/>
      <c r="K1" s="751" t="s">
        <v>676</v>
      </c>
      <c r="L1" s="752"/>
    </row>
    <row r="2" spans="1:12" x14ac:dyDescent="0.25">
      <c r="A2" s="350"/>
      <c r="B2" s="322">
        <v>38.03</v>
      </c>
      <c r="C2" s="95">
        <v>38.04</v>
      </c>
      <c r="D2" s="95">
        <v>31.02</v>
      </c>
      <c r="E2" s="95">
        <v>37.04</v>
      </c>
      <c r="F2" s="95">
        <v>38.020000000000003</v>
      </c>
      <c r="G2" s="45" t="s">
        <v>0</v>
      </c>
      <c r="H2" s="322">
        <v>38.03</v>
      </c>
      <c r="I2" s="95">
        <v>38.04</v>
      </c>
      <c r="J2" s="45" t="s">
        <v>1</v>
      </c>
      <c r="K2" s="322">
        <v>38.03</v>
      </c>
      <c r="L2" s="45" t="s">
        <v>1</v>
      </c>
    </row>
    <row r="3" spans="1:12" x14ac:dyDescent="0.25">
      <c r="A3" s="350" t="s">
        <v>1</v>
      </c>
      <c r="B3" s="328">
        <v>3406</v>
      </c>
      <c r="C3" s="46">
        <v>5584</v>
      </c>
      <c r="D3" s="46">
        <v>2400</v>
      </c>
      <c r="E3" s="46">
        <v>4463</v>
      </c>
      <c r="F3" s="46">
        <v>1982</v>
      </c>
      <c r="G3" s="327">
        <f t="shared" ref="G3:G34" si="0">SUM(B3:F3)</f>
        <v>17835</v>
      </c>
      <c r="H3" s="328">
        <f>B3</f>
        <v>3406</v>
      </c>
      <c r="I3" s="46">
        <f>C3</f>
        <v>5584</v>
      </c>
      <c r="J3" s="327">
        <f>SUM(H3:I3)</f>
        <v>8990</v>
      </c>
      <c r="K3" s="328">
        <f>B3</f>
        <v>3406</v>
      </c>
      <c r="L3" s="327">
        <f>K3</f>
        <v>3406</v>
      </c>
    </row>
    <row r="4" spans="1:12" x14ac:dyDescent="0.25">
      <c r="A4" s="350" t="s">
        <v>2</v>
      </c>
      <c r="B4" s="328">
        <v>204</v>
      </c>
      <c r="C4" s="46">
        <v>554</v>
      </c>
      <c r="D4" s="46">
        <v>85</v>
      </c>
      <c r="E4" s="46">
        <v>532</v>
      </c>
      <c r="F4" s="46">
        <v>109</v>
      </c>
      <c r="G4" s="327">
        <f t="shared" si="0"/>
        <v>1484</v>
      </c>
      <c r="H4" s="328">
        <f t="shared" ref="H4:H66" si="1">B4</f>
        <v>204</v>
      </c>
      <c r="I4" s="46">
        <f t="shared" ref="I4:I66" si="2">C4</f>
        <v>554</v>
      </c>
      <c r="J4" s="327">
        <f t="shared" ref="J4:J62" si="3">SUM(H4:I4)</f>
        <v>758</v>
      </c>
      <c r="K4" s="328">
        <f t="shared" ref="K4:K66" si="4">B4</f>
        <v>204</v>
      </c>
      <c r="L4" s="327">
        <f t="shared" ref="L4:L66" si="5">K4</f>
        <v>204</v>
      </c>
    </row>
    <row r="5" spans="1:12" x14ac:dyDescent="0.25">
      <c r="A5" s="350" t="s">
        <v>3</v>
      </c>
      <c r="B5" s="328">
        <v>178</v>
      </c>
      <c r="C5" s="46">
        <v>615</v>
      </c>
      <c r="D5" s="46">
        <v>75</v>
      </c>
      <c r="E5" s="46">
        <v>345</v>
      </c>
      <c r="F5" s="46">
        <v>160</v>
      </c>
      <c r="G5" s="327">
        <f t="shared" si="0"/>
        <v>1373</v>
      </c>
      <c r="H5" s="328">
        <f t="shared" si="1"/>
        <v>178</v>
      </c>
      <c r="I5" s="46">
        <f t="shared" si="2"/>
        <v>615</v>
      </c>
      <c r="J5" s="327">
        <f t="shared" si="3"/>
        <v>793</v>
      </c>
      <c r="K5" s="328">
        <f t="shared" si="4"/>
        <v>178</v>
      </c>
      <c r="L5" s="327">
        <f t="shared" si="5"/>
        <v>178</v>
      </c>
    </row>
    <row r="6" spans="1:12" x14ac:dyDescent="0.25">
      <c r="A6" s="350" t="s">
        <v>4</v>
      </c>
      <c r="B6" s="328">
        <v>176</v>
      </c>
      <c r="C6" s="46">
        <v>692</v>
      </c>
      <c r="D6" s="46">
        <v>126</v>
      </c>
      <c r="E6" s="46">
        <v>246</v>
      </c>
      <c r="F6" s="46">
        <v>79</v>
      </c>
      <c r="G6" s="327">
        <f t="shared" si="0"/>
        <v>1319</v>
      </c>
      <c r="H6" s="328">
        <f t="shared" si="1"/>
        <v>176</v>
      </c>
      <c r="I6" s="46">
        <f t="shared" si="2"/>
        <v>692</v>
      </c>
      <c r="J6" s="327">
        <f t="shared" si="3"/>
        <v>868</v>
      </c>
      <c r="K6" s="328">
        <f t="shared" si="4"/>
        <v>176</v>
      </c>
      <c r="L6" s="327">
        <f t="shared" si="5"/>
        <v>176</v>
      </c>
    </row>
    <row r="7" spans="1:12" x14ac:dyDescent="0.25">
      <c r="A7" s="350" t="s">
        <v>5</v>
      </c>
      <c r="B7" s="328">
        <v>138</v>
      </c>
      <c r="C7" s="46">
        <v>181</v>
      </c>
      <c r="D7" s="46">
        <v>255</v>
      </c>
      <c r="E7" s="46">
        <v>227</v>
      </c>
      <c r="F7" s="46">
        <v>100</v>
      </c>
      <c r="G7" s="327">
        <f t="shared" si="0"/>
        <v>901</v>
      </c>
      <c r="H7" s="328">
        <f t="shared" si="1"/>
        <v>138</v>
      </c>
      <c r="I7" s="46">
        <f t="shared" si="2"/>
        <v>181</v>
      </c>
      <c r="J7" s="327">
        <f t="shared" si="3"/>
        <v>319</v>
      </c>
      <c r="K7" s="328">
        <f t="shared" si="4"/>
        <v>138</v>
      </c>
      <c r="L7" s="327">
        <f t="shared" si="5"/>
        <v>138</v>
      </c>
    </row>
    <row r="8" spans="1:12" x14ac:dyDescent="0.25">
      <c r="A8" s="350" t="s">
        <v>6</v>
      </c>
      <c r="B8" s="328">
        <v>85</v>
      </c>
      <c r="C8" s="46">
        <v>290</v>
      </c>
      <c r="D8" s="46">
        <v>76</v>
      </c>
      <c r="E8" s="46">
        <v>261</v>
      </c>
      <c r="F8" s="46">
        <v>101</v>
      </c>
      <c r="G8" s="327">
        <f t="shared" si="0"/>
        <v>813</v>
      </c>
      <c r="H8" s="328">
        <f t="shared" si="1"/>
        <v>85</v>
      </c>
      <c r="I8" s="46">
        <f t="shared" si="2"/>
        <v>290</v>
      </c>
      <c r="J8" s="327">
        <f t="shared" si="3"/>
        <v>375</v>
      </c>
      <c r="K8" s="328">
        <f t="shared" si="4"/>
        <v>85</v>
      </c>
      <c r="L8" s="327">
        <f t="shared" si="5"/>
        <v>85</v>
      </c>
    </row>
    <row r="9" spans="1:12" x14ac:dyDescent="0.25">
      <c r="A9" s="350" t="s">
        <v>7</v>
      </c>
      <c r="B9" s="328">
        <v>301</v>
      </c>
      <c r="C9" s="46">
        <v>569</v>
      </c>
      <c r="D9" s="46">
        <v>117</v>
      </c>
      <c r="E9" s="46">
        <v>630</v>
      </c>
      <c r="F9" s="46">
        <v>108</v>
      </c>
      <c r="G9" s="327">
        <f t="shared" si="0"/>
        <v>1725</v>
      </c>
      <c r="H9" s="328">
        <f t="shared" si="1"/>
        <v>301</v>
      </c>
      <c r="I9" s="46">
        <f t="shared" si="2"/>
        <v>569</v>
      </c>
      <c r="J9" s="327">
        <f t="shared" si="3"/>
        <v>870</v>
      </c>
      <c r="K9" s="328">
        <f t="shared" si="4"/>
        <v>301</v>
      </c>
      <c r="L9" s="327">
        <f t="shared" si="5"/>
        <v>301</v>
      </c>
    </row>
    <row r="10" spans="1:12" x14ac:dyDescent="0.25">
      <c r="A10" s="350" t="s">
        <v>8</v>
      </c>
      <c r="B10" s="328">
        <v>320</v>
      </c>
      <c r="C10" s="46">
        <v>365</v>
      </c>
      <c r="D10" s="46">
        <v>98</v>
      </c>
      <c r="E10" s="46">
        <v>893</v>
      </c>
      <c r="F10" s="46">
        <v>154</v>
      </c>
      <c r="G10" s="327">
        <f t="shared" si="0"/>
        <v>1830</v>
      </c>
      <c r="H10" s="328">
        <f t="shared" si="1"/>
        <v>320</v>
      </c>
      <c r="I10" s="46">
        <f t="shared" si="2"/>
        <v>365</v>
      </c>
      <c r="J10" s="327">
        <f t="shared" si="3"/>
        <v>685</v>
      </c>
      <c r="K10" s="328">
        <f t="shared" si="4"/>
        <v>320</v>
      </c>
      <c r="L10" s="327">
        <f t="shared" si="5"/>
        <v>320</v>
      </c>
    </row>
    <row r="11" spans="1:12" x14ac:dyDescent="0.25">
      <c r="A11" s="350" t="s">
        <v>9</v>
      </c>
      <c r="B11" s="328">
        <v>197</v>
      </c>
      <c r="C11" s="46">
        <v>441</v>
      </c>
      <c r="D11" s="46">
        <v>185</v>
      </c>
      <c r="E11" s="46">
        <v>335</v>
      </c>
      <c r="F11" s="46">
        <v>168</v>
      </c>
      <c r="G11" s="327">
        <f t="shared" si="0"/>
        <v>1326</v>
      </c>
      <c r="H11" s="328">
        <f t="shared" si="1"/>
        <v>197</v>
      </c>
      <c r="I11" s="46">
        <f t="shared" si="2"/>
        <v>441</v>
      </c>
      <c r="J11" s="327">
        <f t="shared" si="3"/>
        <v>638</v>
      </c>
      <c r="K11" s="328">
        <f t="shared" si="4"/>
        <v>197</v>
      </c>
      <c r="L11" s="327">
        <f t="shared" si="5"/>
        <v>197</v>
      </c>
    </row>
    <row r="12" spans="1:12" x14ac:dyDescent="0.25">
      <c r="A12" s="350" t="s">
        <v>10</v>
      </c>
      <c r="B12" s="328">
        <v>277</v>
      </c>
      <c r="C12" s="46">
        <v>333</v>
      </c>
      <c r="D12" s="46">
        <v>135</v>
      </c>
      <c r="E12" s="46">
        <v>330</v>
      </c>
      <c r="F12" s="46">
        <v>149</v>
      </c>
      <c r="G12" s="327">
        <f t="shared" si="0"/>
        <v>1224</v>
      </c>
      <c r="H12" s="328">
        <f t="shared" si="1"/>
        <v>277</v>
      </c>
      <c r="I12" s="46">
        <f t="shared" si="2"/>
        <v>333</v>
      </c>
      <c r="J12" s="327">
        <f t="shared" si="3"/>
        <v>610</v>
      </c>
      <c r="K12" s="328">
        <f t="shared" si="4"/>
        <v>277</v>
      </c>
      <c r="L12" s="327">
        <f t="shared" si="5"/>
        <v>277</v>
      </c>
    </row>
    <row r="13" spans="1:12" x14ac:dyDescent="0.25">
      <c r="A13" s="350" t="s">
        <v>11</v>
      </c>
      <c r="B13" s="328">
        <v>223</v>
      </c>
      <c r="C13" s="46">
        <v>193</v>
      </c>
      <c r="D13" s="46">
        <v>223</v>
      </c>
      <c r="E13" s="46">
        <v>202</v>
      </c>
      <c r="F13" s="46">
        <v>92</v>
      </c>
      <c r="G13" s="327">
        <f t="shared" si="0"/>
        <v>933</v>
      </c>
      <c r="H13" s="328">
        <f t="shared" si="1"/>
        <v>223</v>
      </c>
      <c r="I13" s="46">
        <f t="shared" si="2"/>
        <v>193</v>
      </c>
      <c r="J13" s="327">
        <f t="shared" si="3"/>
        <v>416</v>
      </c>
      <c r="K13" s="328">
        <f t="shared" si="4"/>
        <v>223</v>
      </c>
      <c r="L13" s="327">
        <f t="shared" si="5"/>
        <v>223</v>
      </c>
    </row>
    <row r="14" spans="1:12" x14ac:dyDescent="0.25">
      <c r="A14" s="350" t="s">
        <v>12</v>
      </c>
      <c r="B14" s="328">
        <v>225</v>
      </c>
      <c r="C14" s="46">
        <v>266</v>
      </c>
      <c r="D14" s="46">
        <v>131</v>
      </c>
      <c r="E14" s="46">
        <v>146</v>
      </c>
      <c r="F14" s="46">
        <v>244</v>
      </c>
      <c r="G14" s="327">
        <f t="shared" si="0"/>
        <v>1012</v>
      </c>
      <c r="H14" s="328">
        <f t="shared" si="1"/>
        <v>225</v>
      </c>
      <c r="I14" s="46">
        <f t="shared" si="2"/>
        <v>266</v>
      </c>
      <c r="J14" s="327">
        <f t="shared" si="3"/>
        <v>491</v>
      </c>
      <c r="K14" s="328">
        <f t="shared" si="4"/>
        <v>225</v>
      </c>
      <c r="L14" s="327">
        <f t="shared" si="5"/>
        <v>225</v>
      </c>
    </row>
    <row r="15" spans="1:12" x14ac:dyDescent="0.25">
      <c r="A15" s="350" t="s">
        <v>13</v>
      </c>
      <c r="B15" s="328">
        <v>236</v>
      </c>
      <c r="C15" s="46">
        <v>307</v>
      </c>
      <c r="D15" s="46">
        <v>246</v>
      </c>
      <c r="E15" s="46">
        <v>96</v>
      </c>
      <c r="F15" s="46">
        <v>107</v>
      </c>
      <c r="G15" s="327">
        <f t="shared" si="0"/>
        <v>992</v>
      </c>
      <c r="H15" s="328">
        <f t="shared" si="1"/>
        <v>236</v>
      </c>
      <c r="I15" s="46">
        <f t="shared" si="2"/>
        <v>307</v>
      </c>
      <c r="J15" s="327">
        <f t="shared" si="3"/>
        <v>543</v>
      </c>
      <c r="K15" s="328">
        <f t="shared" si="4"/>
        <v>236</v>
      </c>
      <c r="L15" s="327">
        <f t="shared" si="5"/>
        <v>236</v>
      </c>
    </row>
    <row r="16" spans="1:12" x14ac:dyDescent="0.25">
      <c r="A16" s="350" t="s">
        <v>14</v>
      </c>
      <c r="B16" s="328">
        <v>191</v>
      </c>
      <c r="C16" s="46">
        <v>227</v>
      </c>
      <c r="D16" s="46">
        <v>223</v>
      </c>
      <c r="E16" s="46">
        <v>107</v>
      </c>
      <c r="F16" s="46">
        <v>156</v>
      </c>
      <c r="G16" s="327">
        <f t="shared" si="0"/>
        <v>904</v>
      </c>
      <c r="H16" s="328">
        <f t="shared" si="1"/>
        <v>191</v>
      </c>
      <c r="I16" s="46">
        <f t="shared" si="2"/>
        <v>227</v>
      </c>
      <c r="J16" s="327">
        <f t="shared" si="3"/>
        <v>418</v>
      </c>
      <c r="K16" s="328">
        <f t="shared" si="4"/>
        <v>191</v>
      </c>
      <c r="L16" s="327">
        <f t="shared" si="5"/>
        <v>191</v>
      </c>
    </row>
    <row r="17" spans="1:12" x14ac:dyDescent="0.25">
      <c r="A17" s="350" t="s">
        <v>15</v>
      </c>
      <c r="B17" s="328">
        <v>249</v>
      </c>
      <c r="C17" s="46">
        <v>141</v>
      </c>
      <c r="D17" s="46">
        <v>189</v>
      </c>
      <c r="E17" s="46">
        <v>35</v>
      </c>
      <c r="F17" s="46">
        <v>133</v>
      </c>
      <c r="G17" s="327">
        <f t="shared" si="0"/>
        <v>747</v>
      </c>
      <c r="H17" s="328">
        <f t="shared" si="1"/>
        <v>249</v>
      </c>
      <c r="I17" s="46">
        <f t="shared" si="2"/>
        <v>141</v>
      </c>
      <c r="J17" s="327">
        <f t="shared" si="3"/>
        <v>390</v>
      </c>
      <c r="K17" s="328">
        <f t="shared" si="4"/>
        <v>249</v>
      </c>
      <c r="L17" s="327">
        <f t="shared" si="5"/>
        <v>249</v>
      </c>
    </row>
    <row r="18" spans="1:12" x14ac:dyDescent="0.25">
      <c r="A18" s="350" t="s">
        <v>16</v>
      </c>
      <c r="B18" s="328">
        <v>128</v>
      </c>
      <c r="C18" s="46">
        <v>101</v>
      </c>
      <c r="D18" s="46">
        <v>99</v>
      </c>
      <c r="E18" s="46">
        <v>32</v>
      </c>
      <c r="F18" s="46">
        <v>38</v>
      </c>
      <c r="G18" s="327">
        <f t="shared" si="0"/>
        <v>398</v>
      </c>
      <c r="H18" s="328">
        <f t="shared" si="1"/>
        <v>128</v>
      </c>
      <c r="I18" s="46">
        <f t="shared" si="2"/>
        <v>101</v>
      </c>
      <c r="J18" s="327">
        <f t="shared" si="3"/>
        <v>229</v>
      </c>
      <c r="K18" s="328">
        <f t="shared" si="4"/>
        <v>128</v>
      </c>
      <c r="L18" s="327">
        <f t="shared" si="5"/>
        <v>128</v>
      </c>
    </row>
    <row r="19" spans="1:12" x14ac:dyDescent="0.25">
      <c r="A19" s="350" t="s">
        <v>17</v>
      </c>
      <c r="B19" s="328">
        <v>108</v>
      </c>
      <c r="C19" s="46">
        <v>177</v>
      </c>
      <c r="D19" s="46">
        <v>53</v>
      </c>
      <c r="E19" s="46">
        <v>25</v>
      </c>
      <c r="F19" s="46">
        <v>36</v>
      </c>
      <c r="G19" s="327">
        <f t="shared" si="0"/>
        <v>399</v>
      </c>
      <c r="H19" s="328">
        <f t="shared" si="1"/>
        <v>108</v>
      </c>
      <c r="I19" s="46">
        <f t="shared" si="2"/>
        <v>177</v>
      </c>
      <c r="J19" s="327">
        <f t="shared" si="3"/>
        <v>285</v>
      </c>
      <c r="K19" s="328">
        <f t="shared" si="4"/>
        <v>108</v>
      </c>
      <c r="L19" s="327">
        <f t="shared" si="5"/>
        <v>108</v>
      </c>
    </row>
    <row r="20" spans="1:12" x14ac:dyDescent="0.25">
      <c r="A20" s="350" t="s">
        <v>18</v>
      </c>
      <c r="B20" s="328">
        <v>71</v>
      </c>
      <c r="C20" s="46">
        <v>103</v>
      </c>
      <c r="D20" s="46">
        <v>27</v>
      </c>
      <c r="E20" s="46">
        <v>21</v>
      </c>
      <c r="F20" s="46">
        <v>13</v>
      </c>
      <c r="G20" s="327">
        <f t="shared" si="0"/>
        <v>235</v>
      </c>
      <c r="H20" s="328">
        <f t="shared" si="1"/>
        <v>71</v>
      </c>
      <c r="I20" s="46">
        <f t="shared" si="2"/>
        <v>103</v>
      </c>
      <c r="J20" s="327">
        <f t="shared" si="3"/>
        <v>174</v>
      </c>
      <c r="K20" s="328">
        <f t="shared" si="4"/>
        <v>71</v>
      </c>
      <c r="L20" s="327">
        <f t="shared" si="5"/>
        <v>71</v>
      </c>
    </row>
    <row r="21" spans="1:12" x14ac:dyDescent="0.25">
      <c r="A21" s="350" t="s">
        <v>19</v>
      </c>
      <c r="B21" s="328">
        <v>99</v>
      </c>
      <c r="C21" s="46">
        <v>29</v>
      </c>
      <c r="D21" s="46">
        <v>57</v>
      </c>
      <c r="E21" s="46">
        <v>0</v>
      </c>
      <c r="F21" s="46">
        <v>35</v>
      </c>
      <c r="G21" s="327">
        <f t="shared" si="0"/>
        <v>220</v>
      </c>
      <c r="H21" s="328">
        <f t="shared" si="1"/>
        <v>99</v>
      </c>
      <c r="I21" s="46">
        <f t="shared" si="2"/>
        <v>29</v>
      </c>
      <c r="J21" s="327">
        <f t="shared" si="3"/>
        <v>128</v>
      </c>
      <c r="K21" s="328">
        <f t="shared" si="4"/>
        <v>99</v>
      </c>
      <c r="L21" s="327">
        <f t="shared" si="5"/>
        <v>99</v>
      </c>
    </row>
    <row r="22" spans="1:12" x14ac:dyDescent="0.25">
      <c r="A22" s="350" t="s">
        <v>29</v>
      </c>
      <c r="B22" s="328">
        <v>2710</v>
      </c>
      <c r="C22" s="46">
        <v>3542</v>
      </c>
      <c r="D22" s="46">
        <v>1859</v>
      </c>
      <c r="E22" s="46">
        <v>3113</v>
      </c>
      <c r="F22" s="46">
        <v>1534</v>
      </c>
      <c r="G22" s="327">
        <f t="shared" si="0"/>
        <v>12758</v>
      </c>
      <c r="H22" s="328">
        <f t="shared" si="1"/>
        <v>2710</v>
      </c>
      <c r="I22" s="46">
        <f t="shared" si="2"/>
        <v>3542</v>
      </c>
      <c r="J22" s="327">
        <f t="shared" si="3"/>
        <v>6252</v>
      </c>
      <c r="K22" s="328">
        <f t="shared" si="4"/>
        <v>2710</v>
      </c>
      <c r="L22" s="327">
        <f t="shared" si="5"/>
        <v>2710</v>
      </c>
    </row>
    <row r="23" spans="1:12" x14ac:dyDescent="0.25">
      <c r="A23" s="350" t="s">
        <v>21</v>
      </c>
      <c r="B23" s="328">
        <v>1603</v>
      </c>
      <c r="C23" s="46">
        <v>2422</v>
      </c>
      <c r="D23" s="46">
        <v>1150</v>
      </c>
      <c r="E23" s="46">
        <v>2276</v>
      </c>
      <c r="F23" s="46">
        <v>1020</v>
      </c>
      <c r="G23" s="327">
        <f t="shared" si="0"/>
        <v>8471</v>
      </c>
      <c r="H23" s="328">
        <f t="shared" si="1"/>
        <v>1603</v>
      </c>
      <c r="I23" s="46">
        <f t="shared" si="2"/>
        <v>2422</v>
      </c>
      <c r="J23" s="327">
        <f t="shared" si="3"/>
        <v>4025</v>
      </c>
      <c r="K23" s="328">
        <f t="shared" si="4"/>
        <v>1603</v>
      </c>
      <c r="L23" s="327">
        <f t="shared" si="5"/>
        <v>1603</v>
      </c>
    </row>
    <row r="24" spans="1:12" x14ac:dyDescent="0.25">
      <c r="A24" s="350" t="s">
        <v>22</v>
      </c>
      <c r="B24" s="328">
        <v>1803</v>
      </c>
      <c r="C24" s="46">
        <v>3162</v>
      </c>
      <c r="D24" s="46">
        <v>1250</v>
      </c>
      <c r="E24" s="46">
        <v>2187</v>
      </c>
      <c r="F24" s="46">
        <v>962</v>
      </c>
      <c r="G24" s="327">
        <f t="shared" si="0"/>
        <v>9364</v>
      </c>
      <c r="H24" s="328">
        <f t="shared" si="1"/>
        <v>1803</v>
      </c>
      <c r="I24" s="46">
        <f t="shared" si="2"/>
        <v>3162</v>
      </c>
      <c r="J24" s="327">
        <f t="shared" si="3"/>
        <v>4965</v>
      </c>
      <c r="K24" s="328">
        <f t="shared" si="4"/>
        <v>1803</v>
      </c>
      <c r="L24" s="327">
        <f t="shared" si="5"/>
        <v>1803</v>
      </c>
    </row>
    <row r="25" spans="1:12" x14ac:dyDescent="0.25">
      <c r="A25" s="350" t="s">
        <v>507</v>
      </c>
      <c r="B25" s="328">
        <v>1726</v>
      </c>
      <c r="C25" s="46">
        <v>1430</v>
      </c>
      <c r="D25" s="46">
        <v>1196</v>
      </c>
      <c r="E25" s="46">
        <v>2982</v>
      </c>
      <c r="F25" s="46">
        <v>1547</v>
      </c>
      <c r="G25" s="327">
        <f t="shared" si="0"/>
        <v>8881</v>
      </c>
      <c r="H25" s="328">
        <f t="shared" si="1"/>
        <v>1726</v>
      </c>
      <c r="I25" s="46">
        <f t="shared" si="2"/>
        <v>1430</v>
      </c>
      <c r="J25" s="327">
        <f t="shared" si="3"/>
        <v>3156</v>
      </c>
      <c r="K25" s="328">
        <f t="shared" si="4"/>
        <v>1726</v>
      </c>
      <c r="L25" s="327">
        <f t="shared" si="5"/>
        <v>1726</v>
      </c>
    </row>
    <row r="26" spans="1:12" x14ac:dyDescent="0.25">
      <c r="A26" s="350" t="s">
        <v>30</v>
      </c>
      <c r="B26" s="328">
        <f>B3-B25</f>
        <v>1680</v>
      </c>
      <c r="C26" s="46">
        <f t="shared" ref="C26:F26" si="6">C3-C25</f>
        <v>4154</v>
      </c>
      <c r="D26" s="46">
        <f t="shared" si="6"/>
        <v>1204</v>
      </c>
      <c r="E26" s="46">
        <f t="shared" si="6"/>
        <v>1481</v>
      </c>
      <c r="F26" s="46">
        <f t="shared" si="6"/>
        <v>435</v>
      </c>
      <c r="G26" s="327">
        <f t="shared" si="0"/>
        <v>8954</v>
      </c>
      <c r="H26" s="328">
        <f t="shared" si="1"/>
        <v>1680</v>
      </c>
      <c r="I26" s="46">
        <f t="shared" si="2"/>
        <v>4154</v>
      </c>
      <c r="J26" s="327">
        <f t="shared" si="3"/>
        <v>5834</v>
      </c>
      <c r="K26" s="328">
        <f t="shared" si="4"/>
        <v>1680</v>
      </c>
      <c r="L26" s="327">
        <f t="shared" si="5"/>
        <v>1680</v>
      </c>
    </row>
    <row r="27" spans="1:12" x14ac:dyDescent="0.25">
      <c r="A27" s="350" t="s">
        <v>24</v>
      </c>
      <c r="B27" s="328">
        <v>277</v>
      </c>
      <c r="C27" s="46">
        <v>1723</v>
      </c>
      <c r="D27" s="46">
        <v>41</v>
      </c>
      <c r="E27" s="46">
        <v>166</v>
      </c>
      <c r="F27" s="46">
        <v>369</v>
      </c>
      <c r="G27" s="327">
        <f t="shared" si="0"/>
        <v>2576</v>
      </c>
      <c r="H27" s="330">
        <f t="shared" si="1"/>
        <v>277</v>
      </c>
      <c r="I27" s="403">
        <f t="shared" si="2"/>
        <v>1723</v>
      </c>
      <c r="J27" s="329">
        <f t="shared" si="3"/>
        <v>2000</v>
      </c>
      <c r="K27" s="328">
        <f t="shared" si="4"/>
        <v>277</v>
      </c>
      <c r="L27" s="327">
        <f t="shared" si="5"/>
        <v>277</v>
      </c>
    </row>
    <row r="28" spans="1:12" x14ac:dyDescent="0.25">
      <c r="A28" s="350" t="s">
        <v>508</v>
      </c>
      <c r="B28" s="328">
        <v>1439</v>
      </c>
      <c r="C28" s="46">
        <v>2168</v>
      </c>
      <c r="D28" s="46">
        <v>1012</v>
      </c>
      <c r="E28" s="46">
        <v>1541</v>
      </c>
      <c r="F28" s="46">
        <v>725</v>
      </c>
      <c r="G28" s="327">
        <f t="shared" si="0"/>
        <v>6885</v>
      </c>
      <c r="H28" s="330">
        <f t="shared" si="1"/>
        <v>1439</v>
      </c>
      <c r="I28" s="403">
        <f t="shared" si="2"/>
        <v>2168</v>
      </c>
      <c r="J28" s="329">
        <f t="shared" si="3"/>
        <v>3607</v>
      </c>
      <c r="K28" s="330">
        <f t="shared" si="4"/>
        <v>1439</v>
      </c>
      <c r="L28" s="329">
        <f t="shared" si="5"/>
        <v>1439</v>
      </c>
    </row>
    <row r="29" spans="1:12" x14ac:dyDescent="0.25">
      <c r="A29" s="401" t="s">
        <v>25</v>
      </c>
      <c r="B29" s="358">
        <v>2.2599999999999998</v>
      </c>
      <c r="C29" s="402">
        <v>2.58</v>
      </c>
      <c r="D29" s="402">
        <v>2.37</v>
      </c>
      <c r="E29" s="402">
        <v>2.9</v>
      </c>
      <c r="F29" s="402">
        <v>2.71</v>
      </c>
      <c r="G29" s="356">
        <f>((B29*B$28)+(C29*C$28)+(D29*D$28)+(E29*E$28)+(F29*F$28))/G$28</f>
        <v>2.5675628177196801</v>
      </c>
      <c r="H29" s="358">
        <f t="shared" si="1"/>
        <v>2.2599999999999998</v>
      </c>
      <c r="I29" s="402">
        <f t="shared" si="2"/>
        <v>2.58</v>
      </c>
      <c r="J29" s="356">
        <f>((H29*H28)+(I29*I28))/J28</f>
        <v>2.4523371222622679</v>
      </c>
      <c r="K29" s="358">
        <f t="shared" si="4"/>
        <v>2.2599999999999998</v>
      </c>
      <c r="L29" s="356">
        <f>K29</f>
        <v>2.2599999999999998</v>
      </c>
    </row>
    <row r="30" spans="1:12" x14ac:dyDescent="0.25">
      <c r="A30" s="401" t="s">
        <v>509</v>
      </c>
      <c r="B30" s="330">
        <v>941</v>
      </c>
      <c r="C30" s="403">
        <v>1184</v>
      </c>
      <c r="D30" s="403">
        <v>631</v>
      </c>
      <c r="E30" s="403">
        <v>1161</v>
      </c>
      <c r="F30" s="403">
        <v>543</v>
      </c>
      <c r="G30" s="329">
        <f t="shared" si="0"/>
        <v>4460</v>
      </c>
      <c r="H30" s="330">
        <f t="shared" si="1"/>
        <v>941</v>
      </c>
      <c r="I30" s="403">
        <f t="shared" si="2"/>
        <v>1184</v>
      </c>
      <c r="J30" s="329">
        <f t="shared" si="3"/>
        <v>2125</v>
      </c>
      <c r="K30" s="330">
        <f t="shared" si="4"/>
        <v>941</v>
      </c>
      <c r="L30" s="329">
        <f t="shared" si="5"/>
        <v>941</v>
      </c>
    </row>
    <row r="31" spans="1:12" x14ac:dyDescent="0.25">
      <c r="A31" s="401" t="s">
        <v>26</v>
      </c>
      <c r="B31" s="358">
        <v>2.81</v>
      </c>
      <c r="C31" s="402">
        <v>3.63</v>
      </c>
      <c r="D31" s="402">
        <v>3.01</v>
      </c>
      <c r="E31" s="402">
        <v>3.3</v>
      </c>
      <c r="F31" s="402">
        <v>3.03</v>
      </c>
      <c r="G31" s="356">
        <f>((B31*B30)+(C31*C30)+(D31*D30)+(E31*E30)+(F31*F30))/G30</f>
        <v>3.2103206278026901</v>
      </c>
      <c r="H31" s="358">
        <f t="shared" si="1"/>
        <v>2.81</v>
      </c>
      <c r="I31" s="402">
        <f t="shared" si="2"/>
        <v>3.63</v>
      </c>
      <c r="J31" s="356">
        <f>((H31*H30)+(I31*I30))/J30</f>
        <v>3.2668847058823531</v>
      </c>
      <c r="K31" s="358">
        <f t="shared" si="4"/>
        <v>2.81</v>
      </c>
      <c r="L31" s="356">
        <f>K31</f>
        <v>2.81</v>
      </c>
    </row>
    <row r="32" spans="1:12" x14ac:dyDescent="0.25">
      <c r="A32" s="401" t="s">
        <v>23</v>
      </c>
      <c r="B32" s="330">
        <v>1542</v>
      </c>
      <c r="C32" s="403">
        <v>2477</v>
      </c>
      <c r="D32" s="403">
        <v>1101</v>
      </c>
      <c r="E32" s="403">
        <v>1718</v>
      </c>
      <c r="F32" s="403">
        <v>900</v>
      </c>
      <c r="G32" s="329">
        <f t="shared" si="0"/>
        <v>7738</v>
      </c>
      <c r="H32" s="330">
        <f t="shared" si="1"/>
        <v>1542</v>
      </c>
      <c r="I32" s="403">
        <f t="shared" si="2"/>
        <v>2477</v>
      </c>
      <c r="J32" s="329">
        <f t="shared" si="3"/>
        <v>4019</v>
      </c>
      <c r="K32" s="330">
        <f t="shared" si="4"/>
        <v>1542</v>
      </c>
      <c r="L32" s="329">
        <f t="shared" si="5"/>
        <v>1542</v>
      </c>
    </row>
    <row r="33" spans="1:12" x14ac:dyDescent="0.25">
      <c r="A33" s="401" t="s">
        <v>27</v>
      </c>
      <c r="B33" s="330">
        <v>1439</v>
      </c>
      <c r="C33" s="403">
        <v>2168</v>
      </c>
      <c r="D33" s="403">
        <v>1012</v>
      </c>
      <c r="E33" s="403">
        <v>1541</v>
      </c>
      <c r="F33" s="403">
        <v>725</v>
      </c>
      <c r="G33" s="329">
        <f t="shared" si="0"/>
        <v>6885</v>
      </c>
      <c r="H33" s="330">
        <f t="shared" si="1"/>
        <v>1439</v>
      </c>
      <c r="I33" s="403">
        <f t="shared" si="2"/>
        <v>2168</v>
      </c>
      <c r="J33" s="329">
        <f t="shared" si="3"/>
        <v>3607</v>
      </c>
      <c r="K33" s="330">
        <f t="shared" si="4"/>
        <v>1439</v>
      </c>
      <c r="L33" s="329">
        <f t="shared" si="5"/>
        <v>1439</v>
      </c>
    </row>
    <row r="34" spans="1:12" x14ac:dyDescent="0.25">
      <c r="A34" s="350" t="s">
        <v>28</v>
      </c>
      <c r="B34" s="328">
        <f>B32-B33</f>
        <v>103</v>
      </c>
      <c r="C34" s="46">
        <f t="shared" ref="C34:F34" si="7">C32-C33</f>
        <v>309</v>
      </c>
      <c r="D34" s="46">
        <f t="shared" si="7"/>
        <v>89</v>
      </c>
      <c r="E34" s="46">
        <f t="shared" si="7"/>
        <v>177</v>
      </c>
      <c r="F34" s="46">
        <f t="shared" si="7"/>
        <v>175</v>
      </c>
      <c r="G34" s="327">
        <f t="shared" si="0"/>
        <v>853</v>
      </c>
      <c r="H34" s="328">
        <f t="shared" si="1"/>
        <v>103</v>
      </c>
      <c r="I34" s="46">
        <f t="shared" si="2"/>
        <v>309</v>
      </c>
      <c r="J34" s="327">
        <f t="shared" si="3"/>
        <v>412</v>
      </c>
      <c r="K34" s="328">
        <f t="shared" si="4"/>
        <v>103</v>
      </c>
      <c r="L34" s="327">
        <f t="shared" si="5"/>
        <v>103</v>
      </c>
    </row>
    <row r="35" spans="1:12" x14ac:dyDescent="0.25">
      <c r="A35" s="350" t="s">
        <v>670</v>
      </c>
      <c r="B35" s="328">
        <v>136600</v>
      </c>
      <c r="C35" s="46">
        <v>77000</v>
      </c>
      <c r="D35" s="46">
        <v>116200</v>
      </c>
      <c r="E35" s="46">
        <v>149200</v>
      </c>
      <c r="F35" s="46">
        <v>255100</v>
      </c>
      <c r="G35" s="327">
        <f>((B35*B32)+(C35*C32)+(D35*D32)+(E35*E32)+(F35*F32))/G32</f>
        <v>131199.01783406566</v>
      </c>
      <c r="H35" s="328">
        <f t="shared" si="1"/>
        <v>136600</v>
      </c>
      <c r="I35" s="46">
        <f t="shared" si="2"/>
        <v>77000</v>
      </c>
      <c r="J35" s="327">
        <f>((H35*$H$32)+(I35*$I$32))/$J$32</f>
        <v>99867.180890768854</v>
      </c>
      <c r="K35" s="328">
        <f t="shared" si="4"/>
        <v>136600</v>
      </c>
      <c r="L35" s="327">
        <f>K35</f>
        <v>136600</v>
      </c>
    </row>
    <row r="36" spans="1:12" x14ac:dyDescent="0.25">
      <c r="A36" s="351" t="s">
        <v>46</v>
      </c>
      <c r="B36" s="328">
        <v>1811</v>
      </c>
      <c r="C36" s="46">
        <v>2033</v>
      </c>
      <c r="D36" s="46">
        <v>1161</v>
      </c>
      <c r="E36" s="46">
        <v>2574</v>
      </c>
      <c r="F36" s="46">
        <v>973</v>
      </c>
      <c r="G36" s="327">
        <f>SUM(B36:F36)</f>
        <v>8552</v>
      </c>
      <c r="H36" s="328">
        <f t="shared" si="1"/>
        <v>1811</v>
      </c>
      <c r="I36" s="46">
        <f t="shared" si="2"/>
        <v>2033</v>
      </c>
      <c r="J36" s="327">
        <f t="shared" si="3"/>
        <v>3844</v>
      </c>
      <c r="K36" s="328">
        <f t="shared" si="4"/>
        <v>1811</v>
      </c>
      <c r="L36" s="327">
        <f t="shared" si="5"/>
        <v>1811</v>
      </c>
    </row>
    <row r="37" spans="1:12" x14ac:dyDescent="0.25">
      <c r="A37" s="351" t="s">
        <v>424</v>
      </c>
      <c r="B37" s="328" t="s">
        <v>47</v>
      </c>
      <c r="C37" s="46" t="s">
        <v>47</v>
      </c>
      <c r="D37" s="46" t="s">
        <v>47</v>
      </c>
      <c r="E37" s="46" t="s">
        <v>47</v>
      </c>
      <c r="F37" s="46" t="s">
        <v>47</v>
      </c>
      <c r="G37" s="327"/>
      <c r="H37" s="328"/>
      <c r="I37" s="46"/>
      <c r="J37" s="331"/>
      <c r="K37" s="328"/>
      <c r="L37" s="331"/>
    </row>
    <row r="38" spans="1:12" x14ac:dyDescent="0.25">
      <c r="A38" s="351" t="s">
        <v>425</v>
      </c>
      <c r="B38" s="336">
        <v>0.98099999999999998</v>
      </c>
      <c r="C38" s="332">
        <v>0.90900000000000003</v>
      </c>
      <c r="D38" s="332">
        <v>0.93700000000000006</v>
      </c>
      <c r="E38" s="332">
        <v>0.96899999999999997</v>
      </c>
      <c r="F38" s="332">
        <v>0.872</v>
      </c>
      <c r="G38" s="333">
        <f>((B38*$B$36)+(C38*$C$36)+(D38*$D$36)+(E38*$E$36)+(F38*$F$36))/$G$36</f>
        <v>0.94189745088868104</v>
      </c>
      <c r="H38" s="336">
        <f t="shared" si="1"/>
        <v>0.98099999999999998</v>
      </c>
      <c r="I38" s="332">
        <f t="shared" si="2"/>
        <v>0.90900000000000003</v>
      </c>
      <c r="J38" s="335">
        <f>((H38*$H$36)+(I38*$I$36))/$J$36</f>
        <v>0.94292091571279912</v>
      </c>
      <c r="K38" s="334">
        <f t="shared" si="4"/>
        <v>0.98099999999999998</v>
      </c>
      <c r="L38" s="335">
        <f t="shared" si="5"/>
        <v>0.98099999999999998</v>
      </c>
    </row>
    <row r="39" spans="1:12" x14ac:dyDescent="0.25">
      <c r="A39" s="351" t="s">
        <v>33</v>
      </c>
      <c r="B39" s="336">
        <v>0.90900000000000003</v>
      </c>
      <c r="C39" s="332">
        <v>0.72299999999999998</v>
      </c>
      <c r="D39" s="332">
        <v>0.80700000000000005</v>
      </c>
      <c r="E39" s="332">
        <v>0.90900000000000003</v>
      </c>
      <c r="F39" s="332">
        <v>0.77100000000000002</v>
      </c>
      <c r="G39" s="333">
        <f t="shared" ref="G39:G49" si="8">((B39*$B$36)+(C39*$C$36)+(D39*$D$36)+(E39*$E$36)+(F39*$F$36))/$G$36</f>
        <v>0.83523550046772688</v>
      </c>
      <c r="H39" s="336">
        <f t="shared" si="1"/>
        <v>0.90900000000000003</v>
      </c>
      <c r="I39" s="332">
        <f t="shared" si="2"/>
        <v>0.72299999999999998</v>
      </c>
      <c r="J39" s="335">
        <f t="shared" ref="J39:J59" si="9">((H39*$H$36)+(I39*$I$36))/$J$36</f>
        <v>0.81062903225806449</v>
      </c>
      <c r="K39" s="334">
        <f t="shared" si="4"/>
        <v>0.90900000000000003</v>
      </c>
      <c r="L39" s="335">
        <f t="shared" si="5"/>
        <v>0.90900000000000003</v>
      </c>
    </row>
    <row r="40" spans="1:12" x14ac:dyDescent="0.25">
      <c r="A40" s="351" t="s">
        <v>426</v>
      </c>
      <c r="B40" s="336">
        <v>7.1999999999999995E-2</v>
      </c>
      <c r="C40" s="332">
        <v>0.187</v>
      </c>
      <c r="D40" s="332">
        <v>0.13</v>
      </c>
      <c r="E40" s="332">
        <v>5.8999999999999997E-2</v>
      </c>
      <c r="F40" s="332">
        <v>0.10100000000000001</v>
      </c>
      <c r="G40" s="333">
        <f t="shared" si="8"/>
        <v>0.10659869036482693</v>
      </c>
      <c r="H40" s="336">
        <f t="shared" si="1"/>
        <v>7.1999999999999995E-2</v>
      </c>
      <c r="I40" s="332">
        <f t="shared" si="2"/>
        <v>0.187</v>
      </c>
      <c r="J40" s="335">
        <f t="shared" si="9"/>
        <v>0.13282075962539022</v>
      </c>
      <c r="K40" s="334">
        <f t="shared" si="4"/>
        <v>7.1999999999999995E-2</v>
      </c>
      <c r="L40" s="335">
        <f t="shared" si="5"/>
        <v>7.1999999999999995E-2</v>
      </c>
    </row>
    <row r="41" spans="1:12" x14ac:dyDescent="0.25">
      <c r="A41" s="351" t="s">
        <v>35</v>
      </c>
      <c r="B41" s="336">
        <v>6.6000000000000003E-2</v>
      </c>
      <c r="C41" s="332">
        <v>0.10299999999999999</v>
      </c>
      <c r="D41" s="332">
        <v>0.13</v>
      </c>
      <c r="E41" s="332">
        <v>4.7E-2</v>
      </c>
      <c r="F41" s="332">
        <v>4.9000000000000002E-2</v>
      </c>
      <c r="G41" s="333">
        <f t="shared" si="8"/>
        <v>7.5831384471468657E-2</v>
      </c>
      <c r="H41" s="336">
        <f t="shared" si="1"/>
        <v>6.6000000000000003E-2</v>
      </c>
      <c r="I41" s="332">
        <f t="shared" si="2"/>
        <v>0.10299999999999999</v>
      </c>
      <c r="J41" s="335">
        <f t="shared" si="9"/>
        <v>8.556841831425599E-2</v>
      </c>
      <c r="K41" s="334">
        <f t="shared" si="4"/>
        <v>6.6000000000000003E-2</v>
      </c>
      <c r="L41" s="335">
        <f t="shared" si="5"/>
        <v>6.6000000000000003E-2</v>
      </c>
    </row>
    <row r="42" spans="1:12" x14ac:dyDescent="0.25">
      <c r="A42" s="351" t="s">
        <v>36</v>
      </c>
      <c r="B42" s="336">
        <v>7.0000000000000001E-3</v>
      </c>
      <c r="C42" s="332">
        <v>3.5000000000000003E-2</v>
      </c>
      <c r="D42" s="332">
        <v>0</v>
      </c>
      <c r="E42" s="332">
        <v>6.0000000000000001E-3</v>
      </c>
      <c r="F42" s="332">
        <v>5.0999999999999997E-2</v>
      </c>
      <c r="G42" s="333">
        <f t="shared" si="8"/>
        <v>1.7411014967259122E-2</v>
      </c>
      <c r="H42" s="336">
        <f t="shared" si="1"/>
        <v>7.0000000000000001E-3</v>
      </c>
      <c r="I42" s="332">
        <f t="shared" si="2"/>
        <v>3.5000000000000003E-2</v>
      </c>
      <c r="J42" s="335">
        <f t="shared" si="9"/>
        <v>2.1808532778355878E-2</v>
      </c>
      <c r="K42" s="334">
        <f t="shared" si="4"/>
        <v>7.0000000000000001E-3</v>
      </c>
      <c r="L42" s="335">
        <f t="shared" si="5"/>
        <v>7.0000000000000001E-3</v>
      </c>
    </row>
    <row r="43" spans="1:12" x14ac:dyDescent="0.25">
      <c r="A43" s="351" t="s">
        <v>427</v>
      </c>
      <c r="B43" s="336">
        <v>0</v>
      </c>
      <c r="C43" s="332">
        <v>4.9000000000000002E-2</v>
      </c>
      <c r="D43" s="332">
        <v>0</v>
      </c>
      <c r="E43" s="332">
        <v>7.0000000000000001E-3</v>
      </c>
      <c r="F43" s="332">
        <v>0</v>
      </c>
      <c r="G43" s="333">
        <f t="shared" si="8"/>
        <v>1.3755261927034612E-2</v>
      </c>
      <c r="H43" s="336">
        <f t="shared" si="1"/>
        <v>0</v>
      </c>
      <c r="I43" s="332">
        <f t="shared" si="2"/>
        <v>4.9000000000000002E-2</v>
      </c>
      <c r="J43" s="335">
        <f t="shared" si="9"/>
        <v>2.5914932362122788E-2</v>
      </c>
      <c r="K43" s="334">
        <f t="shared" si="4"/>
        <v>0</v>
      </c>
      <c r="L43" s="335">
        <f t="shared" si="5"/>
        <v>0</v>
      </c>
    </row>
    <row r="44" spans="1:12" x14ac:dyDescent="0.25">
      <c r="A44" s="351" t="s">
        <v>428</v>
      </c>
      <c r="B44" s="340">
        <v>1.04</v>
      </c>
      <c r="C44" s="337">
        <v>1.1399999999999999</v>
      </c>
      <c r="D44" s="337">
        <v>1.07</v>
      </c>
      <c r="E44" s="337">
        <v>1.03</v>
      </c>
      <c r="F44" s="337">
        <v>1.07</v>
      </c>
      <c r="G44" s="338">
        <f t="shared" si="8"/>
        <v>1.0682483629560338</v>
      </c>
      <c r="H44" s="340">
        <f t="shared" si="1"/>
        <v>1.04</v>
      </c>
      <c r="I44" s="337">
        <f t="shared" si="2"/>
        <v>1.1399999999999999</v>
      </c>
      <c r="J44" s="353">
        <f t="shared" si="9"/>
        <v>1.0928876170655566</v>
      </c>
      <c r="K44" s="339">
        <f t="shared" si="4"/>
        <v>1.04</v>
      </c>
      <c r="L44" s="331">
        <f t="shared" si="5"/>
        <v>1.04</v>
      </c>
    </row>
    <row r="45" spans="1:12" x14ac:dyDescent="0.25">
      <c r="A45" s="351" t="s">
        <v>429</v>
      </c>
      <c r="B45" s="336">
        <v>0</v>
      </c>
      <c r="C45" s="332">
        <v>0.03</v>
      </c>
      <c r="D45" s="332">
        <v>3.6999999999999998E-2</v>
      </c>
      <c r="E45" s="332">
        <v>0</v>
      </c>
      <c r="F45" s="332">
        <v>0</v>
      </c>
      <c r="G45" s="333">
        <f t="shared" si="8"/>
        <v>1.2154700654817586E-2</v>
      </c>
      <c r="H45" s="336">
        <f t="shared" si="1"/>
        <v>0</v>
      </c>
      <c r="I45" s="332">
        <f t="shared" si="2"/>
        <v>0.03</v>
      </c>
      <c r="J45" s="335">
        <f t="shared" si="9"/>
        <v>1.5866285119667013E-2</v>
      </c>
      <c r="K45" s="334">
        <f t="shared" si="4"/>
        <v>0</v>
      </c>
      <c r="L45" s="335">
        <f t="shared" si="5"/>
        <v>0</v>
      </c>
    </row>
    <row r="46" spans="1:12" x14ac:dyDescent="0.25">
      <c r="A46" s="351" t="s">
        <v>41</v>
      </c>
      <c r="B46" s="336">
        <v>0</v>
      </c>
      <c r="C46" s="332">
        <v>3.2000000000000001E-2</v>
      </c>
      <c r="D46" s="332">
        <v>0</v>
      </c>
      <c r="E46" s="332">
        <v>0</v>
      </c>
      <c r="F46" s="332">
        <v>0.03</v>
      </c>
      <c r="G46" s="333">
        <f t="shared" si="8"/>
        <v>1.1020346117867164E-2</v>
      </c>
      <c r="H46" s="336">
        <f t="shared" si="1"/>
        <v>0</v>
      </c>
      <c r="I46" s="332">
        <f t="shared" si="2"/>
        <v>3.2000000000000001E-2</v>
      </c>
      <c r="J46" s="335">
        <f t="shared" si="9"/>
        <v>1.6924037460978147E-2</v>
      </c>
      <c r="K46" s="334">
        <f t="shared" si="4"/>
        <v>0</v>
      </c>
      <c r="L46" s="335">
        <f t="shared" si="5"/>
        <v>0</v>
      </c>
    </row>
    <row r="47" spans="1:12" x14ac:dyDescent="0.25">
      <c r="A47" s="351" t="s">
        <v>40</v>
      </c>
      <c r="B47" s="336">
        <v>0</v>
      </c>
      <c r="C47" s="332">
        <v>0</v>
      </c>
      <c r="D47" s="332">
        <v>0</v>
      </c>
      <c r="E47" s="332">
        <v>0</v>
      </c>
      <c r="F47" s="332">
        <v>0</v>
      </c>
      <c r="G47" s="333">
        <f t="shared" si="8"/>
        <v>0</v>
      </c>
      <c r="H47" s="336">
        <f t="shared" si="1"/>
        <v>0</v>
      </c>
      <c r="I47" s="332">
        <f t="shared" si="2"/>
        <v>0</v>
      </c>
      <c r="J47" s="335">
        <f t="shared" si="9"/>
        <v>0</v>
      </c>
      <c r="K47" s="334">
        <f t="shared" si="4"/>
        <v>0</v>
      </c>
      <c r="L47" s="335">
        <f t="shared" si="5"/>
        <v>0</v>
      </c>
    </row>
    <row r="48" spans="1:12" x14ac:dyDescent="0.25">
      <c r="A48" s="351" t="s">
        <v>430</v>
      </c>
      <c r="B48" s="336">
        <v>0</v>
      </c>
      <c r="C48" s="332">
        <v>4.0000000000000001E-3</v>
      </c>
      <c r="D48" s="332">
        <v>1.4E-2</v>
      </c>
      <c r="E48" s="332">
        <v>7.0000000000000001E-3</v>
      </c>
      <c r="F48" s="332">
        <v>6.0000000000000001E-3</v>
      </c>
      <c r="G48" s="333">
        <f t="shared" si="8"/>
        <v>5.6410196445275968E-3</v>
      </c>
      <c r="H48" s="336">
        <f t="shared" si="1"/>
        <v>0</v>
      </c>
      <c r="I48" s="332">
        <f t="shared" si="2"/>
        <v>4.0000000000000001E-3</v>
      </c>
      <c r="J48" s="335">
        <f t="shared" si="9"/>
        <v>2.1155046826222684E-3</v>
      </c>
      <c r="K48" s="334">
        <f t="shared" si="4"/>
        <v>0</v>
      </c>
      <c r="L48" s="335">
        <f t="shared" si="5"/>
        <v>0</v>
      </c>
    </row>
    <row r="49" spans="1:12" x14ac:dyDescent="0.25">
      <c r="A49" s="351" t="s">
        <v>42</v>
      </c>
      <c r="B49" s="336">
        <v>1.9E-2</v>
      </c>
      <c r="C49" s="332">
        <v>2.4E-2</v>
      </c>
      <c r="D49" s="332">
        <v>1.2E-2</v>
      </c>
      <c r="E49" s="332">
        <v>2.5000000000000001E-2</v>
      </c>
      <c r="F49" s="332">
        <v>9.1999999999999998E-2</v>
      </c>
      <c r="G49" s="333">
        <f t="shared" si="8"/>
        <v>2.9349742750233866E-2</v>
      </c>
      <c r="H49" s="336">
        <f t="shared" si="1"/>
        <v>1.9E-2</v>
      </c>
      <c r="I49" s="332">
        <f t="shared" si="2"/>
        <v>2.4E-2</v>
      </c>
      <c r="J49" s="335">
        <f t="shared" si="9"/>
        <v>2.1644380853277835E-2</v>
      </c>
      <c r="K49" s="334">
        <f t="shared" si="4"/>
        <v>1.9E-2</v>
      </c>
      <c r="L49" s="335">
        <f t="shared" si="5"/>
        <v>1.9E-2</v>
      </c>
    </row>
    <row r="50" spans="1:12" x14ac:dyDescent="0.25">
      <c r="A50" s="351" t="s">
        <v>87</v>
      </c>
      <c r="B50" s="344"/>
      <c r="C50" s="341"/>
      <c r="D50" s="341"/>
      <c r="E50" s="341"/>
      <c r="F50" s="341"/>
      <c r="G50" s="331"/>
      <c r="H50" s="336"/>
      <c r="I50" s="332"/>
      <c r="J50" s="335"/>
      <c r="K50" s="336">
        <f t="shared" si="4"/>
        <v>0</v>
      </c>
      <c r="L50" s="335">
        <f t="shared" si="5"/>
        <v>0</v>
      </c>
    </row>
    <row r="51" spans="1:12" x14ac:dyDescent="0.25">
      <c r="A51" s="351" t="s">
        <v>431</v>
      </c>
      <c r="B51" s="336">
        <v>0.13700000000000001</v>
      </c>
      <c r="C51" s="332">
        <v>0.183</v>
      </c>
      <c r="D51" s="332">
        <v>0.17599999999999999</v>
      </c>
      <c r="E51" s="332">
        <v>6.5000000000000002E-2</v>
      </c>
      <c r="F51" s="332">
        <v>0.19900000000000001</v>
      </c>
      <c r="G51" s="333">
        <f t="shared" ref="G51:G60" si="10">((B51*$B$36)+(C51*$C$36)+(D51*$D$36)+(E51*$E$36)+(F51*$F$36))/$G$36</f>
        <v>0.13861307296538819</v>
      </c>
      <c r="H51" s="336">
        <f t="shared" si="1"/>
        <v>0.13700000000000001</v>
      </c>
      <c r="I51" s="332">
        <f t="shared" si="2"/>
        <v>0.183</v>
      </c>
      <c r="J51" s="335">
        <f t="shared" si="9"/>
        <v>0.16132830385015606</v>
      </c>
      <c r="K51" s="334">
        <f t="shared" si="4"/>
        <v>0.13700000000000001</v>
      </c>
      <c r="L51" s="335">
        <f t="shared" si="5"/>
        <v>0.13700000000000001</v>
      </c>
    </row>
    <row r="52" spans="1:12" x14ac:dyDescent="0.25">
      <c r="A52" s="351" t="s">
        <v>432</v>
      </c>
      <c r="B52" s="336">
        <v>0.16</v>
      </c>
      <c r="C52" s="332">
        <v>0.22500000000000001</v>
      </c>
      <c r="D52" s="332">
        <v>0.13</v>
      </c>
      <c r="E52" s="332">
        <v>0.16400000000000001</v>
      </c>
      <c r="F52" s="332">
        <v>0.106</v>
      </c>
      <c r="G52" s="333">
        <f t="shared" si="10"/>
        <v>0.16643931244153412</v>
      </c>
      <c r="H52" s="336">
        <f t="shared" si="1"/>
        <v>0.16</v>
      </c>
      <c r="I52" s="332">
        <f t="shared" si="2"/>
        <v>0.22500000000000001</v>
      </c>
      <c r="J52" s="335">
        <f t="shared" si="9"/>
        <v>0.19437695109261185</v>
      </c>
      <c r="K52" s="334">
        <f t="shared" si="4"/>
        <v>0.16</v>
      </c>
      <c r="L52" s="335">
        <f t="shared" si="5"/>
        <v>0.16</v>
      </c>
    </row>
    <row r="53" spans="1:12" x14ac:dyDescent="0.25">
      <c r="A53" s="351" t="s">
        <v>433</v>
      </c>
      <c r="B53" s="336">
        <v>0.24099999999999999</v>
      </c>
      <c r="C53" s="332">
        <v>0.20599999999999999</v>
      </c>
      <c r="D53" s="332">
        <v>0.27700000000000002</v>
      </c>
      <c r="E53" s="332">
        <v>0.26300000000000001</v>
      </c>
      <c r="F53" s="332">
        <v>0.155</v>
      </c>
      <c r="G53" s="333">
        <f t="shared" si="10"/>
        <v>0.23440399906454631</v>
      </c>
      <c r="H53" s="336">
        <f t="shared" si="1"/>
        <v>0.24099999999999999</v>
      </c>
      <c r="I53" s="332">
        <f t="shared" si="2"/>
        <v>0.20599999999999999</v>
      </c>
      <c r="J53" s="335">
        <f t="shared" si="9"/>
        <v>0.22248933402705515</v>
      </c>
      <c r="K53" s="334">
        <f t="shared" si="4"/>
        <v>0.24099999999999999</v>
      </c>
      <c r="L53" s="335">
        <f t="shared" si="5"/>
        <v>0.24099999999999999</v>
      </c>
    </row>
    <row r="54" spans="1:12" x14ac:dyDescent="0.25">
      <c r="A54" s="351" t="s">
        <v>434</v>
      </c>
      <c r="B54" s="336">
        <v>0.16300000000000001</v>
      </c>
      <c r="C54" s="332">
        <v>0.129</v>
      </c>
      <c r="D54" s="332">
        <v>0.17399999999999999</v>
      </c>
      <c r="E54" s="332">
        <v>0.26500000000000001</v>
      </c>
      <c r="F54" s="332">
        <v>0.23799999999999999</v>
      </c>
      <c r="G54" s="333">
        <f t="shared" si="10"/>
        <v>0.19564405986903649</v>
      </c>
      <c r="H54" s="336">
        <f t="shared" si="1"/>
        <v>0.16300000000000001</v>
      </c>
      <c r="I54" s="332">
        <f t="shared" si="2"/>
        <v>0.129</v>
      </c>
      <c r="J54" s="335">
        <f t="shared" si="9"/>
        <v>0.14501821019771072</v>
      </c>
      <c r="K54" s="334">
        <f t="shared" si="4"/>
        <v>0.16300000000000001</v>
      </c>
      <c r="L54" s="335">
        <f t="shared" si="5"/>
        <v>0.16300000000000001</v>
      </c>
    </row>
    <row r="55" spans="1:12" x14ac:dyDescent="0.25">
      <c r="A55" s="351" t="s">
        <v>435</v>
      </c>
      <c r="B55" s="336">
        <v>9.8000000000000004E-2</v>
      </c>
      <c r="C55" s="332">
        <v>2.1999999999999999E-2</v>
      </c>
      <c r="D55" s="332">
        <v>6.0000000000000001E-3</v>
      </c>
      <c r="E55" s="332">
        <v>3.3000000000000002E-2</v>
      </c>
      <c r="F55" s="332">
        <v>0.11799999999999999</v>
      </c>
      <c r="G55" s="333">
        <f t="shared" si="10"/>
        <v>5.0155051449953233E-2</v>
      </c>
      <c r="H55" s="336">
        <f t="shared" si="1"/>
        <v>9.8000000000000004E-2</v>
      </c>
      <c r="I55" s="332">
        <f t="shared" si="2"/>
        <v>2.1999999999999999E-2</v>
      </c>
      <c r="J55" s="335">
        <f t="shared" si="9"/>
        <v>5.7805411030176904E-2</v>
      </c>
      <c r="K55" s="334">
        <f t="shared" si="4"/>
        <v>9.8000000000000004E-2</v>
      </c>
      <c r="L55" s="335">
        <f t="shared" si="5"/>
        <v>9.8000000000000004E-2</v>
      </c>
    </row>
    <row r="56" spans="1:12" x14ac:dyDescent="0.25">
      <c r="A56" s="351" t="s">
        <v>436</v>
      </c>
      <c r="B56" s="336">
        <v>0.109</v>
      </c>
      <c r="C56" s="332">
        <v>0.17799999999999999</v>
      </c>
      <c r="D56" s="332">
        <v>0.11600000000000001</v>
      </c>
      <c r="E56" s="332">
        <v>0.14599999999999999</v>
      </c>
      <c r="F56" s="332">
        <v>5.3999999999999999E-2</v>
      </c>
      <c r="G56" s="333">
        <f t="shared" si="10"/>
        <v>0.13123187558465854</v>
      </c>
      <c r="H56" s="336">
        <f t="shared" si="1"/>
        <v>0.109</v>
      </c>
      <c r="I56" s="332">
        <f t="shared" si="2"/>
        <v>0.17799999999999999</v>
      </c>
      <c r="J56" s="335">
        <f t="shared" si="9"/>
        <v>0.14549245577523412</v>
      </c>
      <c r="K56" s="334">
        <f t="shared" si="4"/>
        <v>0.109</v>
      </c>
      <c r="L56" s="335">
        <f t="shared" si="5"/>
        <v>0.109</v>
      </c>
    </row>
    <row r="57" spans="1:12" x14ac:dyDescent="0.25">
      <c r="A57" s="351" t="s">
        <v>437</v>
      </c>
      <c r="B57" s="336">
        <v>4.3999999999999997E-2</v>
      </c>
      <c r="C57" s="332">
        <v>2.8000000000000001E-2</v>
      </c>
      <c r="D57" s="332">
        <v>1.2999999999999999E-2</v>
      </c>
      <c r="E57" s="332">
        <v>2.1000000000000001E-2</v>
      </c>
      <c r="F57" s="332">
        <v>6.0999999999999999E-2</v>
      </c>
      <c r="G57" s="333">
        <f t="shared" si="10"/>
        <v>3.099953227315248E-2</v>
      </c>
      <c r="H57" s="336">
        <f t="shared" si="1"/>
        <v>4.3999999999999997E-2</v>
      </c>
      <c r="I57" s="332">
        <f t="shared" si="2"/>
        <v>2.8000000000000001E-2</v>
      </c>
      <c r="J57" s="335">
        <f t="shared" si="9"/>
        <v>3.5537981269510924E-2</v>
      </c>
      <c r="K57" s="334">
        <f t="shared" si="4"/>
        <v>4.3999999999999997E-2</v>
      </c>
      <c r="L57" s="335">
        <f t="shared" si="5"/>
        <v>4.3999999999999997E-2</v>
      </c>
    </row>
    <row r="58" spans="1:12" x14ac:dyDescent="0.25">
      <c r="A58" s="351" t="s">
        <v>438</v>
      </c>
      <c r="B58" s="336">
        <v>0</v>
      </c>
      <c r="C58" s="332">
        <v>0</v>
      </c>
      <c r="D58" s="332">
        <v>1.7000000000000001E-2</v>
      </c>
      <c r="E58" s="332">
        <v>0.02</v>
      </c>
      <c r="F58" s="332">
        <v>5.7000000000000002E-2</v>
      </c>
      <c r="G58" s="333">
        <f t="shared" si="10"/>
        <v>1.4812675397567822E-2</v>
      </c>
      <c r="H58" s="336">
        <f t="shared" si="1"/>
        <v>0</v>
      </c>
      <c r="I58" s="332">
        <f t="shared" si="2"/>
        <v>0</v>
      </c>
      <c r="J58" s="335">
        <f t="shared" si="9"/>
        <v>0</v>
      </c>
      <c r="K58" s="334">
        <f t="shared" si="4"/>
        <v>0</v>
      </c>
      <c r="L58" s="335">
        <f t="shared" si="5"/>
        <v>0</v>
      </c>
    </row>
    <row r="59" spans="1:12" x14ac:dyDescent="0.25">
      <c r="A59" s="351" t="s">
        <v>439</v>
      </c>
      <c r="B59" s="336">
        <v>4.7E-2</v>
      </c>
      <c r="C59" s="332">
        <v>0.03</v>
      </c>
      <c r="D59" s="332">
        <v>9.0999999999999998E-2</v>
      </c>
      <c r="E59" s="332">
        <v>2.4E-2</v>
      </c>
      <c r="F59" s="332">
        <v>1.0999999999999999E-2</v>
      </c>
      <c r="G59" s="333">
        <f t="shared" si="10"/>
        <v>3.7913587464920483E-2</v>
      </c>
      <c r="H59" s="336">
        <f t="shared" si="1"/>
        <v>4.7E-2</v>
      </c>
      <c r="I59" s="332">
        <f t="shared" si="2"/>
        <v>0.03</v>
      </c>
      <c r="J59" s="335">
        <f t="shared" si="9"/>
        <v>3.8009105098855356E-2</v>
      </c>
      <c r="K59" s="334">
        <f t="shared" si="4"/>
        <v>4.7E-2</v>
      </c>
      <c r="L59" s="335">
        <f t="shared" si="5"/>
        <v>4.7E-2</v>
      </c>
    </row>
    <row r="60" spans="1:12" x14ac:dyDescent="0.25">
      <c r="A60" s="351" t="s">
        <v>88</v>
      </c>
      <c r="B60" s="344">
        <v>19.8</v>
      </c>
      <c r="C60" s="341">
        <v>18.7</v>
      </c>
      <c r="D60" s="341">
        <v>22.4</v>
      </c>
      <c r="E60" s="341">
        <v>20.9</v>
      </c>
      <c r="F60" s="341">
        <v>19.3</v>
      </c>
      <c r="G60" s="342">
        <f t="shared" si="10"/>
        <v>20.165668849391952</v>
      </c>
      <c r="H60" s="344">
        <f t="shared" si="1"/>
        <v>19.8</v>
      </c>
      <c r="I60" s="341">
        <f t="shared" si="2"/>
        <v>18.7</v>
      </c>
      <c r="J60" s="353">
        <f>((H60*$H$36)+(I60*$I$36))/$J$36</f>
        <v>19.218236212278875</v>
      </c>
      <c r="K60" s="343">
        <f t="shared" si="4"/>
        <v>19.8</v>
      </c>
      <c r="L60" s="331">
        <f t="shared" si="5"/>
        <v>19.8</v>
      </c>
    </row>
    <row r="61" spans="1:12" x14ac:dyDescent="0.25">
      <c r="A61" s="351" t="s">
        <v>89</v>
      </c>
      <c r="B61" s="344"/>
      <c r="C61" s="341"/>
      <c r="D61" s="341"/>
      <c r="E61" s="341"/>
      <c r="F61" s="341"/>
      <c r="G61" s="331"/>
      <c r="H61" s="344"/>
      <c r="I61" s="341"/>
      <c r="J61" s="331"/>
      <c r="K61" s="344"/>
      <c r="L61" s="331"/>
    </row>
    <row r="62" spans="1:12" x14ac:dyDescent="0.25">
      <c r="A62" s="351" t="s">
        <v>440</v>
      </c>
      <c r="B62" s="328">
        <v>1811</v>
      </c>
      <c r="C62" s="46">
        <v>2033</v>
      </c>
      <c r="D62" s="46">
        <v>1161</v>
      </c>
      <c r="E62" s="46">
        <v>2574</v>
      </c>
      <c r="F62" s="46">
        <v>973</v>
      </c>
      <c r="G62" s="327">
        <f>SUM(B62:F62)</f>
        <v>8552</v>
      </c>
      <c r="H62" s="328">
        <f t="shared" si="1"/>
        <v>1811</v>
      </c>
      <c r="I62" s="46">
        <f t="shared" si="2"/>
        <v>2033</v>
      </c>
      <c r="J62" s="345">
        <f t="shared" si="3"/>
        <v>3844</v>
      </c>
      <c r="K62" s="328">
        <f t="shared" si="4"/>
        <v>1811</v>
      </c>
      <c r="L62" s="345">
        <f t="shared" si="5"/>
        <v>1811</v>
      </c>
    </row>
    <row r="63" spans="1:12" x14ac:dyDescent="0.25">
      <c r="A63" s="351" t="s">
        <v>441</v>
      </c>
      <c r="B63" s="336">
        <v>0</v>
      </c>
      <c r="C63" s="332">
        <v>0.152</v>
      </c>
      <c r="D63" s="332">
        <v>1.7999999999999999E-2</v>
      </c>
      <c r="E63" s="332">
        <v>2.5999999999999999E-2</v>
      </c>
      <c r="F63" s="332">
        <v>0</v>
      </c>
      <c r="G63" s="335">
        <f>((B63*$B$62)+(C63*$C$62)+(D63*$D$62)+(E63*$E$62)+(F63*$F$62))/$G$62</f>
        <v>4.6402946679139384E-2</v>
      </c>
      <c r="H63" s="336">
        <f t="shared" si="1"/>
        <v>0</v>
      </c>
      <c r="I63" s="332">
        <f t="shared" si="2"/>
        <v>0.152</v>
      </c>
      <c r="J63" s="335">
        <f>((H63*$H$62)+(I63*$I$62))/$J$62</f>
        <v>8.03891779396462E-2</v>
      </c>
      <c r="K63" s="336">
        <f t="shared" si="4"/>
        <v>0</v>
      </c>
      <c r="L63" s="335">
        <f t="shared" si="5"/>
        <v>0</v>
      </c>
    </row>
    <row r="64" spans="1:12" x14ac:dyDescent="0.25">
      <c r="A64" s="351" t="s">
        <v>442</v>
      </c>
      <c r="B64" s="336">
        <v>0.216</v>
      </c>
      <c r="C64" s="332">
        <v>0.33300000000000002</v>
      </c>
      <c r="D64" s="332">
        <v>0.19600000000000001</v>
      </c>
      <c r="E64" s="332">
        <v>0.1</v>
      </c>
      <c r="F64" s="332">
        <v>0.106</v>
      </c>
      <c r="G64" s="335">
        <f t="shared" ref="G64:G66" si="11">((B64*$B$62)+(C64*$C$62)+(D64*$D$62)+(E64*$E$62)+(F64*$F$62))/$G$62</f>
        <v>0.19366920018709075</v>
      </c>
      <c r="H64" s="336">
        <f t="shared" si="1"/>
        <v>0.216</v>
      </c>
      <c r="I64" s="332">
        <f t="shared" si="2"/>
        <v>0.33300000000000002</v>
      </c>
      <c r="J64" s="335">
        <f t="shared" ref="J64:J66" si="12">((H64*$H$62)+(I64*$I$62))/$J$62</f>
        <v>0.27787851196670132</v>
      </c>
      <c r="K64" s="336">
        <f t="shared" si="4"/>
        <v>0.216</v>
      </c>
      <c r="L64" s="335">
        <f t="shared" si="5"/>
        <v>0.216</v>
      </c>
    </row>
    <row r="65" spans="1:12" x14ac:dyDescent="0.25">
      <c r="A65" s="351" t="s">
        <v>443</v>
      </c>
      <c r="B65" s="336">
        <v>0.50600000000000001</v>
      </c>
      <c r="C65" s="332">
        <v>0.34100000000000003</v>
      </c>
      <c r="D65" s="332">
        <v>0.38500000000000001</v>
      </c>
      <c r="E65" s="332">
        <v>0.59699999999999998</v>
      </c>
      <c r="F65" s="332">
        <v>0.56200000000000006</v>
      </c>
      <c r="G65" s="335">
        <f t="shared" si="11"/>
        <v>0.48410991580916746</v>
      </c>
      <c r="H65" s="336">
        <f t="shared" si="1"/>
        <v>0.50600000000000001</v>
      </c>
      <c r="I65" s="332">
        <f t="shared" si="2"/>
        <v>0.34100000000000003</v>
      </c>
      <c r="J65" s="335">
        <f t="shared" si="12"/>
        <v>0.41873543184183148</v>
      </c>
      <c r="K65" s="336">
        <f t="shared" si="4"/>
        <v>0.50600000000000001</v>
      </c>
      <c r="L65" s="335">
        <f t="shared" si="5"/>
        <v>0.50600000000000001</v>
      </c>
    </row>
    <row r="66" spans="1:12" ht="15.75" thickBot="1" x14ac:dyDescent="0.3">
      <c r="A66" s="352" t="s">
        <v>444</v>
      </c>
      <c r="B66" s="348">
        <v>0.27800000000000002</v>
      </c>
      <c r="C66" s="346">
        <v>0.17399999999999999</v>
      </c>
      <c r="D66" s="346">
        <v>0.40100000000000002</v>
      </c>
      <c r="E66" s="346">
        <v>0.27700000000000002</v>
      </c>
      <c r="F66" s="346">
        <v>0.33200000000000002</v>
      </c>
      <c r="G66" s="347">
        <f t="shared" si="11"/>
        <v>0.27581793732460241</v>
      </c>
      <c r="H66" s="348">
        <f t="shared" si="1"/>
        <v>0.27800000000000002</v>
      </c>
      <c r="I66" s="346">
        <f t="shared" si="2"/>
        <v>0.17399999999999999</v>
      </c>
      <c r="J66" s="347">
        <f t="shared" si="12"/>
        <v>0.22299687825182102</v>
      </c>
      <c r="K66" s="348">
        <f t="shared" si="4"/>
        <v>0.27800000000000002</v>
      </c>
      <c r="L66" s="347">
        <f t="shared" si="5"/>
        <v>0.27800000000000002</v>
      </c>
    </row>
  </sheetData>
  <sheetProtection password="891C" sheet="1" objects="1" scenarios="1"/>
  <mergeCells count="3">
    <mergeCell ref="K1:L1"/>
    <mergeCell ref="H1:J1"/>
    <mergeCell ref="B1:G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zoomScale="80" zoomScaleNormal="80" workbookViewId="0">
      <selection activeCell="N31" sqref="N31"/>
    </sheetView>
  </sheetViews>
  <sheetFormatPr defaultRowHeight="15" x14ac:dyDescent="0.25"/>
  <cols>
    <col min="1" max="1" width="44.28515625" style="233" customWidth="1"/>
    <col min="2" max="10" width="14.7109375" style="233" customWidth="1"/>
  </cols>
  <sheetData>
    <row r="1" spans="1:10" x14ac:dyDescent="0.25">
      <c r="A1" s="349" t="s">
        <v>446</v>
      </c>
      <c r="B1" s="751" t="s">
        <v>678</v>
      </c>
      <c r="C1" s="753"/>
      <c r="D1" s="753"/>
      <c r="E1" s="752"/>
      <c r="F1" s="751" t="s">
        <v>677</v>
      </c>
      <c r="G1" s="753"/>
      <c r="H1" s="752"/>
      <c r="I1" s="751" t="s">
        <v>676</v>
      </c>
      <c r="J1" s="752"/>
    </row>
    <row r="2" spans="1:10" x14ac:dyDescent="0.25">
      <c r="A2" s="350"/>
      <c r="B2" s="322">
        <v>37.01</v>
      </c>
      <c r="C2" s="95">
        <v>37.020000000000003</v>
      </c>
      <c r="D2" s="95">
        <v>37.03</v>
      </c>
      <c r="E2" s="45" t="s">
        <v>0</v>
      </c>
      <c r="F2" s="322">
        <v>37.020000000000003</v>
      </c>
      <c r="G2" s="95">
        <v>37.03</v>
      </c>
      <c r="H2" s="45" t="s">
        <v>1</v>
      </c>
      <c r="I2" s="322">
        <v>37.020000000000003</v>
      </c>
      <c r="J2" s="45" t="s">
        <v>1</v>
      </c>
    </row>
    <row r="3" spans="1:10" x14ac:dyDescent="0.25">
      <c r="A3" s="350" t="s">
        <v>1</v>
      </c>
      <c r="B3" s="328">
        <v>3682</v>
      </c>
      <c r="C3" s="46">
        <v>4374</v>
      </c>
      <c r="D3" s="46">
        <v>4662</v>
      </c>
      <c r="E3" s="327">
        <f t="shared" ref="E3:E34" si="0">SUM(B3:D3)</f>
        <v>12718</v>
      </c>
      <c r="F3" s="328">
        <f>C3</f>
        <v>4374</v>
      </c>
      <c r="G3" s="46">
        <f>D3</f>
        <v>4662</v>
      </c>
      <c r="H3" s="327">
        <f>SUM(F3:G3)</f>
        <v>9036</v>
      </c>
      <c r="I3" s="328">
        <f>C3</f>
        <v>4374</v>
      </c>
      <c r="J3" s="327">
        <f>I3</f>
        <v>4374</v>
      </c>
    </row>
    <row r="4" spans="1:10" x14ac:dyDescent="0.25">
      <c r="A4" s="350" t="s">
        <v>2</v>
      </c>
      <c r="B4" s="328">
        <v>22</v>
      </c>
      <c r="C4" s="46">
        <v>350</v>
      </c>
      <c r="D4" s="46">
        <v>557</v>
      </c>
      <c r="E4" s="327">
        <f t="shared" si="0"/>
        <v>929</v>
      </c>
      <c r="F4" s="328">
        <f t="shared" ref="F4:F66" si="1">C4</f>
        <v>350</v>
      </c>
      <c r="G4" s="46">
        <f t="shared" ref="G4:G66" si="2">D4</f>
        <v>557</v>
      </c>
      <c r="H4" s="327">
        <f t="shared" ref="H4:H62" si="3">SUM(F4:G4)</f>
        <v>907</v>
      </c>
      <c r="I4" s="328">
        <f t="shared" ref="I4:I66" si="4">C4</f>
        <v>350</v>
      </c>
      <c r="J4" s="327">
        <f t="shared" ref="J4:J66" si="5">I4</f>
        <v>350</v>
      </c>
    </row>
    <row r="5" spans="1:10" x14ac:dyDescent="0.25">
      <c r="A5" s="350" t="s">
        <v>3</v>
      </c>
      <c r="B5" s="328">
        <v>72</v>
      </c>
      <c r="C5" s="46">
        <v>295</v>
      </c>
      <c r="D5" s="46">
        <v>431</v>
      </c>
      <c r="E5" s="327">
        <f t="shared" si="0"/>
        <v>798</v>
      </c>
      <c r="F5" s="328">
        <f t="shared" si="1"/>
        <v>295</v>
      </c>
      <c r="G5" s="46">
        <f t="shared" si="2"/>
        <v>431</v>
      </c>
      <c r="H5" s="327">
        <f t="shared" si="3"/>
        <v>726</v>
      </c>
      <c r="I5" s="328">
        <f t="shared" si="4"/>
        <v>295</v>
      </c>
      <c r="J5" s="327">
        <f t="shared" si="5"/>
        <v>295</v>
      </c>
    </row>
    <row r="6" spans="1:10" x14ac:dyDescent="0.25">
      <c r="A6" s="350" t="s">
        <v>4</v>
      </c>
      <c r="B6" s="328">
        <v>146</v>
      </c>
      <c r="C6" s="46">
        <v>80</v>
      </c>
      <c r="D6" s="46">
        <v>81</v>
      </c>
      <c r="E6" s="327">
        <f t="shared" si="0"/>
        <v>307</v>
      </c>
      <c r="F6" s="328">
        <f t="shared" si="1"/>
        <v>80</v>
      </c>
      <c r="G6" s="46">
        <f t="shared" si="2"/>
        <v>81</v>
      </c>
      <c r="H6" s="327">
        <f t="shared" si="3"/>
        <v>161</v>
      </c>
      <c r="I6" s="328">
        <f t="shared" si="4"/>
        <v>80</v>
      </c>
      <c r="J6" s="327">
        <f t="shared" si="5"/>
        <v>80</v>
      </c>
    </row>
    <row r="7" spans="1:10" x14ac:dyDescent="0.25">
      <c r="A7" s="350" t="s">
        <v>5</v>
      </c>
      <c r="B7" s="328">
        <v>122</v>
      </c>
      <c r="C7" s="46">
        <v>161</v>
      </c>
      <c r="D7" s="46">
        <v>185</v>
      </c>
      <c r="E7" s="327">
        <f t="shared" si="0"/>
        <v>468</v>
      </c>
      <c r="F7" s="328">
        <f t="shared" si="1"/>
        <v>161</v>
      </c>
      <c r="G7" s="46">
        <f t="shared" si="2"/>
        <v>185</v>
      </c>
      <c r="H7" s="327">
        <f t="shared" si="3"/>
        <v>346</v>
      </c>
      <c r="I7" s="328">
        <f t="shared" si="4"/>
        <v>161</v>
      </c>
      <c r="J7" s="327">
        <f t="shared" si="5"/>
        <v>161</v>
      </c>
    </row>
    <row r="8" spans="1:10" x14ac:dyDescent="0.25">
      <c r="A8" s="350" t="s">
        <v>6</v>
      </c>
      <c r="B8" s="328">
        <v>262</v>
      </c>
      <c r="C8" s="46">
        <v>406</v>
      </c>
      <c r="D8" s="46">
        <v>80</v>
      </c>
      <c r="E8" s="327">
        <f t="shared" si="0"/>
        <v>748</v>
      </c>
      <c r="F8" s="328">
        <f t="shared" si="1"/>
        <v>406</v>
      </c>
      <c r="G8" s="46">
        <f t="shared" si="2"/>
        <v>80</v>
      </c>
      <c r="H8" s="327">
        <f t="shared" si="3"/>
        <v>486</v>
      </c>
      <c r="I8" s="328">
        <f t="shared" si="4"/>
        <v>406</v>
      </c>
      <c r="J8" s="327">
        <f t="shared" si="5"/>
        <v>406</v>
      </c>
    </row>
    <row r="9" spans="1:10" x14ac:dyDescent="0.25">
      <c r="A9" s="350" t="s">
        <v>7</v>
      </c>
      <c r="B9" s="328">
        <v>275</v>
      </c>
      <c r="C9" s="46">
        <v>521</v>
      </c>
      <c r="D9" s="46">
        <v>517</v>
      </c>
      <c r="E9" s="327">
        <f t="shared" si="0"/>
        <v>1313</v>
      </c>
      <c r="F9" s="328">
        <f t="shared" si="1"/>
        <v>521</v>
      </c>
      <c r="G9" s="46">
        <f t="shared" si="2"/>
        <v>517</v>
      </c>
      <c r="H9" s="327">
        <f t="shared" si="3"/>
        <v>1038</v>
      </c>
      <c r="I9" s="328">
        <f t="shared" si="4"/>
        <v>521</v>
      </c>
      <c r="J9" s="327">
        <f t="shared" si="5"/>
        <v>521</v>
      </c>
    </row>
    <row r="10" spans="1:10" x14ac:dyDescent="0.25">
      <c r="A10" s="350" t="s">
        <v>8</v>
      </c>
      <c r="B10" s="328">
        <v>469</v>
      </c>
      <c r="C10" s="46">
        <v>698</v>
      </c>
      <c r="D10" s="46">
        <v>669</v>
      </c>
      <c r="E10" s="327">
        <f t="shared" si="0"/>
        <v>1836</v>
      </c>
      <c r="F10" s="328">
        <f t="shared" si="1"/>
        <v>698</v>
      </c>
      <c r="G10" s="46">
        <f t="shared" si="2"/>
        <v>669</v>
      </c>
      <c r="H10" s="327">
        <f t="shared" si="3"/>
        <v>1367</v>
      </c>
      <c r="I10" s="328">
        <f t="shared" si="4"/>
        <v>698</v>
      </c>
      <c r="J10" s="327">
        <f t="shared" si="5"/>
        <v>698</v>
      </c>
    </row>
    <row r="11" spans="1:10" x14ac:dyDescent="0.25">
      <c r="A11" s="350" t="s">
        <v>9</v>
      </c>
      <c r="B11" s="328">
        <v>354</v>
      </c>
      <c r="C11" s="46">
        <v>418</v>
      </c>
      <c r="D11" s="46">
        <v>420</v>
      </c>
      <c r="E11" s="327">
        <f t="shared" si="0"/>
        <v>1192</v>
      </c>
      <c r="F11" s="328">
        <f t="shared" si="1"/>
        <v>418</v>
      </c>
      <c r="G11" s="46">
        <f t="shared" si="2"/>
        <v>420</v>
      </c>
      <c r="H11" s="327">
        <f t="shared" si="3"/>
        <v>838</v>
      </c>
      <c r="I11" s="328">
        <f t="shared" si="4"/>
        <v>418</v>
      </c>
      <c r="J11" s="327">
        <f t="shared" si="5"/>
        <v>418</v>
      </c>
    </row>
    <row r="12" spans="1:10" x14ac:dyDescent="0.25">
      <c r="A12" s="350" t="s">
        <v>10</v>
      </c>
      <c r="B12" s="328">
        <v>447</v>
      </c>
      <c r="C12" s="46">
        <v>316</v>
      </c>
      <c r="D12" s="46">
        <v>347</v>
      </c>
      <c r="E12" s="327">
        <f t="shared" si="0"/>
        <v>1110</v>
      </c>
      <c r="F12" s="328">
        <f t="shared" si="1"/>
        <v>316</v>
      </c>
      <c r="G12" s="46">
        <f t="shared" si="2"/>
        <v>347</v>
      </c>
      <c r="H12" s="327">
        <f t="shared" si="3"/>
        <v>663</v>
      </c>
      <c r="I12" s="328">
        <f t="shared" si="4"/>
        <v>316</v>
      </c>
      <c r="J12" s="327">
        <f t="shared" si="5"/>
        <v>316</v>
      </c>
    </row>
    <row r="13" spans="1:10" x14ac:dyDescent="0.25">
      <c r="A13" s="350" t="s">
        <v>11</v>
      </c>
      <c r="B13" s="328">
        <v>422</v>
      </c>
      <c r="C13" s="46">
        <v>255</v>
      </c>
      <c r="D13" s="46">
        <v>236</v>
      </c>
      <c r="E13" s="327">
        <f t="shared" si="0"/>
        <v>913</v>
      </c>
      <c r="F13" s="328">
        <f t="shared" si="1"/>
        <v>255</v>
      </c>
      <c r="G13" s="46">
        <f t="shared" si="2"/>
        <v>236</v>
      </c>
      <c r="H13" s="327">
        <f t="shared" si="3"/>
        <v>491</v>
      </c>
      <c r="I13" s="328">
        <f t="shared" si="4"/>
        <v>255</v>
      </c>
      <c r="J13" s="327">
        <f t="shared" si="5"/>
        <v>255</v>
      </c>
    </row>
    <row r="14" spans="1:10" x14ac:dyDescent="0.25">
      <c r="A14" s="350" t="s">
        <v>12</v>
      </c>
      <c r="B14" s="328">
        <v>323</v>
      </c>
      <c r="C14" s="46">
        <v>335</v>
      </c>
      <c r="D14" s="46">
        <v>281</v>
      </c>
      <c r="E14" s="327">
        <f t="shared" si="0"/>
        <v>939</v>
      </c>
      <c r="F14" s="328">
        <f t="shared" si="1"/>
        <v>335</v>
      </c>
      <c r="G14" s="46">
        <f t="shared" si="2"/>
        <v>281</v>
      </c>
      <c r="H14" s="327">
        <f t="shared" si="3"/>
        <v>616</v>
      </c>
      <c r="I14" s="328">
        <f t="shared" si="4"/>
        <v>335</v>
      </c>
      <c r="J14" s="327">
        <f t="shared" si="5"/>
        <v>335</v>
      </c>
    </row>
    <row r="15" spans="1:10" x14ac:dyDescent="0.25">
      <c r="A15" s="350" t="s">
        <v>13</v>
      </c>
      <c r="B15" s="328">
        <v>216</v>
      </c>
      <c r="C15" s="46">
        <v>205</v>
      </c>
      <c r="D15" s="46">
        <v>291</v>
      </c>
      <c r="E15" s="327">
        <f t="shared" si="0"/>
        <v>712</v>
      </c>
      <c r="F15" s="328">
        <f t="shared" si="1"/>
        <v>205</v>
      </c>
      <c r="G15" s="46">
        <f t="shared" si="2"/>
        <v>291</v>
      </c>
      <c r="H15" s="327">
        <f t="shared" si="3"/>
        <v>496</v>
      </c>
      <c r="I15" s="328">
        <f t="shared" si="4"/>
        <v>205</v>
      </c>
      <c r="J15" s="327">
        <f t="shared" si="5"/>
        <v>205</v>
      </c>
    </row>
    <row r="16" spans="1:10" x14ac:dyDescent="0.25">
      <c r="A16" s="350" t="s">
        <v>14</v>
      </c>
      <c r="B16" s="328">
        <v>219</v>
      </c>
      <c r="C16" s="46">
        <v>55</v>
      </c>
      <c r="D16" s="46">
        <v>344</v>
      </c>
      <c r="E16" s="327">
        <f t="shared" si="0"/>
        <v>618</v>
      </c>
      <c r="F16" s="328">
        <f t="shared" si="1"/>
        <v>55</v>
      </c>
      <c r="G16" s="46">
        <f t="shared" si="2"/>
        <v>344</v>
      </c>
      <c r="H16" s="327">
        <f t="shared" si="3"/>
        <v>399</v>
      </c>
      <c r="I16" s="328">
        <f t="shared" si="4"/>
        <v>55</v>
      </c>
      <c r="J16" s="327">
        <f t="shared" si="5"/>
        <v>55</v>
      </c>
    </row>
    <row r="17" spans="1:10" x14ac:dyDescent="0.25">
      <c r="A17" s="350" t="s">
        <v>15</v>
      </c>
      <c r="B17" s="328">
        <v>131</v>
      </c>
      <c r="C17" s="46">
        <v>72</v>
      </c>
      <c r="D17" s="46">
        <v>120</v>
      </c>
      <c r="E17" s="327">
        <f t="shared" si="0"/>
        <v>323</v>
      </c>
      <c r="F17" s="328">
        <f t="shared" si="1"/>
        <v>72</v>
      </c>
      <c r="G17" s="46">
        <f t="shared" si="2"/>
        <v>120</v>
      </c>
      <c r="H17" s="327">
        <f t="shared" si="3"/>
        <v>192</v>
      </c>
      <c r="I17" s="328">
        <f t="shared" si="4"/>
        <v>72</v>
      </c>
      <c r="J17" s="327">
        <f t="shared" si="5"/>
        <v>72</v>
      </c>
    </row>
    <row r="18" spans="1:10" x14ac:dyDescent="0.25">
      <c r="A18" s="350" t="s">
        <v>16</v>
      </c>
      <c r="B18" s="328">
        <v>34</v>
      </c>
      <c r="C18" s="46">
        <v>92</v>
      </c>
      <c r="D18" s="46">
        <v>59</v>
      </c>
      <c r="E18" s="327">
        <f t="shared" si="0"/>
        <v>185</v>
      </c>
      <c r="F18" s="328">
        <f t="shared" si="1"/>
        <v>92</v>
      </c>
      <c r="G18" s="46">
        <f t="shared" si="2"/>
        <v>59</v>
      </c>
      <c r="H18" s="327">
        <f t="shared" si="3"/>
        <v>151</v>
      </c>
      <c r="I18" s="328">
        <f t="shared" si="4"/>
        <v>92</v>
      </c>
      <c r="J18" s="327">
        <f t="shared" si="5"/>
        <v>92</v>
      </c>
    </row>
    <row r="19" spans="1:10" x14ac:dyDescent="0.25">
      <c r="A19" s="350" t="s">
        <v>17</v>
      </c>
      <c r="B19" s="328">
        <v>58</v>
      </c>
      <c r="C19" s="46">
        <v>8</v>
      </c>
      <c r="D19" s="46">
        <v>24</v>
      </c>
      <c r="E19" s="327">
        <f t="shared" si="0"/>
        <v>90</v>
      </c>
      <c r="F19" s="328">
        <f t="shared" si="1"/>
        <v>8</v>
      </c>
      <c r="G19" s="46">
        <f t="shared" si="2"/>
        <v>24</v>
      </c>
      <c r="H19" s="327">
        <f t="shared" si="3"/>
        <v>32</v>
      </c>
      <c r="I19" s="328">
        <f t="shared" si="4"/>
        <v>8</v>
      </c>
      <c r="J19" s="327">
        <f t="shared" si="5"/>
        <v>8</v>
      </c>
    </row>
    <row r="20" spans="1:10" x14ac:dyDescent="0.25">
      <c r="A20" s="350" t="s">
        <v>18</v>
      </c>
      <c r="B20" s="328">
        <v>101</v>
      </c>
      <c r="C20" s="46">
        <v>60</v>
      </c>
      <c r="D20" s="46">
        <v>0</v>
      </c>
      <c r="E20" s="327">
        <f t="shared" si="0"/>
        <v>161</v>
      </c>
      <c r="F20" s="328">
        <f t="shared" si="1"/>
        <v>60</v>
      </c>
      <c r="G20" s="46">
        <f t="shared" si="2"/>
        <v>0</v>
      </c>
      <c r="H20" s="327">
        <f t="shared" si="3"/>
        <v>60</v>
      </c>
      <c r="I20" s="328">
        <f t="shared" si="4"/>
        <v>60</v>
      </c>
      <c r="J20" s="327">
        <f t="shared" si="5"/>
        <v>60</v>
      </c>
    </row>
    <row r="21" spans="1:10" x14ac:dyDescent="0.25">
      <c r="A21" s="350" t="s">
        <v>19</v>
      </c>
      <c r="B21" s="328">
        <v>9</v>
      </c>
      <c r="C21" s="46">
        <v>47</v>
      </c>
      <c r="D21" s="46">
        <v>20</v>
      </c>
      <c r="E21" s="327">
        <f t="shared" si="0"/>
        <v>76</v>
      </c>
      <c r="F21" s="328">
        <f t="shared" si="1"/>
        <v>47</v>
      </c>
      <c r="G21" s="46">
        <f t="shared" si="2"/>
        <v>20</v>
      </c>
      <c r="H21" s="327">
        <f t="shared" si="3"/>
        <v>67</v>
      </c>
      <c r="I21" s="328">
        <f t="shared" si="4"/>
        <v>47</v>
      </c>
      <c r="J21" s="327">
        <f t="shared" si="5"/>
        <v>47</v>
      </c>
    </row>
    <row r="22" spans="1:10" x14ac:dyDescent="0.25">
      <c r="A22" s="350" t="s">
        <v>29</v>
      </c>
      <c r="B22" s="328">
        <v>3320</v>
      </c>
      <c r="C22" s="46">
        <v>3488</v>
      </c>
      <c r="D22" s="46">
        <v>3408</v>
      </c>
      <c r="E22" s="327">
        <f t="shared" si="0"/>
        <v>10216</v>
      </c>
      <c r="F22" s="328">
        <f t="shared" si="1"/>
        <v>3488</v>
      </c>
      <c r="G22" s="46">
        <f t="shared" si="2"/>
        <v>3408</v>
      </c>
      <c r="H22" s="327">
        <f t="shared" si="3"/>
        <v>6896</v>
      </c>
      <c r="I22" s="328">
        <f t="shared" si="4"/>
        <v>3488</v>
      </c>
      <c r="J22" s="327">
        <f t="shared" si="5"/>
        <v>3488</v>
      </c>
    </row>
    <row r="23" spans="1:10" x14ac:dyDescent="0.25">
      <c r="A23" s="350" t="s">
        <v>21</v>
      </c>
      <c r="B23" s="328">
        <v>2853</v>
      </c>
      <c r="C23" s="46">
        <v>2635</v>
      </c>
      <c r="D23" s="46">
        <v>2296</v>
      </c>
      <c r="E23" s="327">
        <f t="shared" si="0"/>
        <v>7784</v>
      </c>
      <c r="F23" s="328">
        <f t="shared" si="1"/>
        <v>2635</v>
      </c>
      <c r="G23" s="46">
        <f t="shared" si="2"/>
        <v>2296</v>
      </c>
      <c r="H23" s="327">
        <f t="shared" si="3"/>
        <v>4931</v>
      </c>
      <c r="I23" s="328">
        <f t="shared" si="4"/>
        <v>2635</v>
      </c>
      <c r="J23" s="327">
        <f t="shared" si="5"/>
        <v>2635</v>
      </c>
    </row>
    <row r="24" spans="1:10" x14ac:dyDescent="0.25">
      <c r="A24" s="350" t="s">
        <v>22</v>
      </c>
      <c r="B24" s="328">
        <v>829</v>
      </c>
      <c r="C24" s="46">
        <v>1739</v>
      </c>
      <c r="D24" s="46">
        <v>2366</v>
      </c>
      <c r="E24" s="327">
        <f t="shared" si="0"/>
        <v>4934</v>
      </c>
      <c r="F24" s="328">
        <f t="shared" si="1"/>
        <v>1739</v>
      </c>
      <c r="G24" s="46">
        <f t="shared" si="2"/>
        <v>2366</v>
      </c>
      <c r="H24" s="327">
        <f t="shared" si="3"/>
        <v>4105</v>
      </c>
      <c r="I24" s="328">
        <f t="shared" si="4"/>
        <v>1739</v>
      </c>
      <c r="J24" s="327">
        <f t="shared" si="5"/>
        <v>1739</v>
      </c>
    </row>
    <row r="25" spans="1:10" x14ac:dyDescent="0.25">
      <c r="A25" s="350" t="s">
        <v>507</v>
      </c>
      <c r="B25" s="328">
        <v>2527</v>
      </c>
      <c r="C25" s="46">
        <v>3072</v>
      </c>
      <c r="D25" s="46">
        <v>3766</v>
      </c>
      <c r="E25" s="327">
        <f t="shared" si="0"/>
        <v>9365</v>
      </c>
      <c r="F25" s="328">
        <f t="shared" si="1"/>
        <v>3072</v>
      </c>
      <c r="G25" s="46">
        <f t="shared" si="2"/>
        <v>3766</v>
      </c>
      <c r="H25" s="327">
        <f t="shared" si="3"/>
        <v>6838</v>
      </c>
      <c r="I25" s="328">
        <f t="shared" si="4"/>
        <v>3072</v>
      </c>
      <c r="J25" s="327">
        <f t="shared" si="5"/>
        <v>3072</v>
      </c>
    </row>
    <row r="26" spans="1:10" x14ac:dyDescent="0.25">
      <c r="A26" s="350" t="s">
        <v>30</v>
      </c>
      <c r="B26" s="328">
        <f>B3-B25</f>
        <v>1155</v>
      </c>
      <c r="C26" s="46">
        <f t="shared" ref="C26:D26" si="6">C3-C25</f>
        <v>1302</v>
      </c>
      <c r="D26" s="46">
        <f t="shared" si="6"/>
        <v>896</v>
      </c>
      <c r="E26" s="327">
        <f t="shared" si="0"/>
        <v>3353</v>
      </c>
      <c r="F26" s="328">
        <f t="shared" si="1"/>
        <v>1302</v>
      </c>
      <c r="G26" s="46">
        <f t="shared" si="2"/>
        <v>896</v>
      </c>
      <c r="H26" s="327">
        <f t="shared" si="3"/>
        <v>2198</v>
      </c>
      <c r="I26" s="328">
        <f t="shared" si="4"/>
        <v>1302</v>
      </c>
      <c r="J26" s="327">
        <f t="shared" si="5"/>
        <v>1302</v>
      </c>
    </row>
    <row r="27" spans="1:10" x14ac:dyDescent="0.25">
      <c r="A27" s="350" t="s">
        <v>24</v>
      </c>
      <c r="B27" s="328">
        <v>399</v>
      </c>
      <c r="C27" s="46">
        <v>308</v>
      </c>
      <c r="D27" s="46">
        <v>166</v>
      </c>
      <c r="E27" s="327">
        <f t="shared" si="0"/>
        <v>873</v>
      </c>
      <c r="F27" s="328">
        <f t="shared" si="1"/>
        <v>308</v>
      </c>
      <c r="G27" s="46">
        <f t="shared" si="2"/>
        <v>166</v>
      </c>
      <c r="H27" s="327">
        <f t="shared" si="3"/>
        <v>474</v>
      </c>
      <c r="I27" s="328">
        <f t="shared" si="4"/>
        <v>308</v>
      </c>
      <c r="J27" s="327">
        <f t="shared" si="5"/>
        <v>308</v>
      </c>
    </row>
    <row r="28" spans="1:10" x14ac:dyDescent="0.25">
      <c r="A28" s="350" t="s">
        <v>508</v>
      </c>
      <c r="B28" s="328">
        <v>510</v>
      </c>
      <c r="C28" s="46">
        <v>1076</v>
      </c>
      <c r="D28" s="46">
        <v>2033</v>
      </c>
      <c r="E28" s="327">
        <f t="shared" si="0"/>
        <v>3619</v>
      </c>
      <c r="F28" s="328">
        <f t="shared" si="1"/>
        <v>1076</v>
      </c>
      <c r="G28" s="46">
        <f t="shared" si="2"/>
        <v>2033</v>
      </c>
      <c r="H28" s="327">
        <f t="shared" si="3"/>
        <v>3109</v>
      </c>
      <c r="I28" s="328">
        <f t="shared" si="4"/>
        <v>1076</v>
      </c>
      <c r="J28" s="327">
        <f t="shared" si="5"/>
        <v>1076</v>
      </c>
    </row>
    <row r="29" spans="1:10" x14ac:dyDescent="0.25">
      <c r="A29" s="350" t="s">
        <v>25</v>
      </c>
      <c r="B29" s="354">
        <v>2.37</v>
      </c>
      <c r="C29" s="355">
        <v>2.82</v>
      </c>
      <c r="D29" s="355">
        <v>2.29</v>
      </c>
      <c r="E29" s="356">
        <f>((B29*B$28)+(C29*C$28)+(D29*D$28))/E$28</f>
        <v>2.4588532743851892</v>
      </c>
      <c r="F29" s="354">
        <f t="shared" si="1"/>
        <v>2.82</v>
      </c>
      <c r="G29" s="355">
        <f t="shared" si="2"/>
        <v>2.29</v>
      </c>
      <c r="H29" s="357">
        <f>(+(F29*F$28)+(G29*G$28))/H$28</f>
        <v>2.4734287552267609</v>
      </c>
      <c r="I29" s="358">
        <f t="shared" si="4"/>
        <v>2.82</v>
      </c>
      <c r="J29" s="357">
        <f>I29</f>
        <v>2.82</v>
      </c>
    </row>
    <row r="30" spans="1:10" x14ac:dyDescent="0.25">
      <c r="A30" s="350" t="s">
        <v>509</v>
      </c>
      <c r="B30" s="328">
        <v>345</v>
      </c>
      <c r="C30" s="46">
        <v>769</v>
      </c>
      <c r="D30" s="46">
        <v>1166</v>
      </c>
      <c r="E30" s="329">
        <f t="shared" si="0"/>
        <v>2280</v>
      </c>
      <c r="F30" s="328">
        <f t="shared" si="1"/>
        <v>769</v>
      </c>
      <c r="G30" s="46">
        <f t="shared" si="2"/>
        <v>1166</v>
      </c>
      <c r="H30" s="327">
        <f t="shared" si="3"/>
        <v>1935</v>
      </c>
      <c r="I30" s="330">
        <f t="shared" si="4"/>
        <v>769</v>
      </c>
      <c r="J30" s="327">
        <f t="shared" si="5"/>
        <v>769</v>
      </c>
    </row>
    <row r="31" spans="1:10" x14ac:dyDescent="0.25">
      <c r="A31" s="350" t="s">
        <v>26</v>
      </c>
      <c r="B31" s="354">
        <v>2.96</v>
      </c>
      <c r="C31" s="355">
        <v>3.3</v>
      </c>
      <c r="D31" s="355">
        <v>2.97</v>
      </c>
      <c r="E31" s="356">
        <f>((B31*B$30)+(C31*C$30)+(D31*D$30))/E$30</f>
        <v>3.0797894736842104</v>
      </c>
      <c r="F31" s="354">
        <f t="shared" si="1"/>
        <v>3.3</v>
      </c>
      <c r="G31" s="355">
        <f t="shared" si="2"/>
        <v>2.97</v>
      </c>
      <c r="H31" s="357">
        <f>((F31*F$30)+(G31*G$30))/H$30</f>
        <v>3.1011472868217056</v>
      </c>
      <c r="I31" s="358">
        <f t="shared" si="4"/>
        <v>3.3</v>
      </c>
      <c r="J31" s="357">
        <f t="shared" si="5"/>
        <v>3.3</v>
      </c>
    </row>
    <row r="32" spans="1:10" x14ac:dyDescent="0.25">
      <c r="A32" s="350" t="s">
        <v>23</v>
      </c>
      <c r="B32" s="328">
        <v>521</v>
      </c>
      <c r="C32" s="46">
        <v>1188</v>
      </c>
      <c r="D32" s="46">
        <v>2132</v>
      </c>
      <c r="E32" s="329">
        <f t="shared" si="0"/>
        <v>3841</v>
      </c>
      <c r="F32" s="328">
        <f t="shared" si="1"/>
        <v>1188</v>
      </c>
      <c r="G32" s="46">
        <f t="shared" si="2"/>
        <v>2132</v>
      </c>
      <c r="H32" s="327">
        <f t="shared" si="3"/>
        <v>3320</v>
      </c>
      <c r="I32" s="330">
        <f t="shared" si="4"/>
        <v>1188</v>
      </c>
      <c r="J32" s="327">
        <f t="shared" si="5"/>
        <v>1188</v>
      </c>
    </row>
    <row r="33" spans="1:10" x14ac:dyDescent="0.25">
      <c r="A33" s="350" t="s">
        <v>27</v>
      </c>
      <c r="B33" s="328">
        <v>510</v>
      </c>
      <c r="C33" s="46">
        <v>1076</v>
      </c>
      <c r="D33" s="46">
        <v>2033</v>
      </c>
      <c r="E33" s="329">
        <f t="shared" si="0"/>
        <v>3619</v>
      </c>
      <c r="F33" s="328">
        <f t="shared" si="1"/>
        <v>1076</v>
      </c>
      <c r="G33" s="46">
        <f t="shared" si="2"/>
        <v>2033</v>
      </c>
      <c r="H33" s="327">
        <f t="shared" si="3"/>
        <v>3109</v>
      </c>
      <c r="I33" s="330">
        <f t="shared" si="4"/>
        <v>1076</v>
      </c>
      <c r="J33" s="327">
        <f t="shared" si="5"/>
        <v>1076</v>
      </c>
    </row>
    <row r="34" spans="1:10" x14ac:dyDescent="0.25">
      <c r="A34" s="350" t="s">
        <v>28</v>
      </c>
      <c r="B34" s="328">
        <f>B32-B33</f>
        <v>11</v>
      </c>
      <c r="C34" s="46">
        <f t="shared" ref="C34:D34" si="7">C32-C33</f>
        <v>112</v>
      </c>
      <c r="D34" s="46">
        <f t="shared" si="7"/>
        <v>99</v>
      </c>
      <c r="E34" s="327">
        <f t="shared" si="0"/>
        <v>222</v>
      </c>
      <c r="F34" s="328">
        <f t="shared" si="1"/>
        <v>112</v>
      </c>
      <c r="G34" s="46">
        <f t="shared" si="2"/>
        <v>99</v>
      </c>
      <c r="H34" s="327">
        <f t="shared" si="3"/>
        <v>211</v>
      </c>
      <c r="I34" s="328">
        <f t="shared" si="4"/>
        <v>112</v>
      </c>
      <c r="J34" s="327">
        <f t="shared" si="5"/>
        <v>112</v>
      </c>
    </row>
    <row r="35" spans="1:10" x14ac:dyDescent="0.25">
      <c r="A35" s="350" t="s">
        <v>670</v>
      </c>
      <c r="B35" s="328">
        <v>357300</v>
      </c>
      <c r="C35" s="46">
        <v>141000</v>
      </c>
      <c r="D35" s="46">
        <v>163000</v>
      </c>
      <c r="E35" s="327">
        <f>((B35*B32)+(C35*C32)+(D35*D32))/E32</f>
        <v>182550.71595938559</v>
      </c>
      <c r="F35" s="328">
        <f t="shared" si="1"/>
        <v>141000</v>
      </c>
      <c r="G35" s="46">
        <f t="shared" si="2"/>
        <v>163000</v>
      </c>
      <c r="H35" s="327">
        <f>((F35*$F$32)+(G35*$G$32))/$H$32</f>
        <v>155127.7108433735</v>
      </c>
      <c r="I35" s="328">
        <f t="shared" si="4"/>
        <v>141000</v>
      </c>
      <c r="J35" s="327">
        <f>I35</f>
        <v>141000</v>
      </c>
    </row>
    <row r="36" spans="1:10" x14ac:dyDescent="0.25">
      <c r="A36" s="351" t="s">
        <v>46</v>
      </c>
      <c r="B36" s="328">
        <v>1679</v>
      </c>
      <c r="C36" s="46">
        <v>2558</v>
      </c>
      <c r="D36" s="46">
        <v>2574</v>
      </c>
      <c r="E36" s="327">
        <f>SUM(B36:D36)</f>
        <v>6811</v>
      </c>
      <c r="F36" s="328">
        <f t="shared" si="1"/>
        <v>2558</v>
      </c>
      <c r="G36" s="46">
        <f t="shared" si="2"/>
        <v>2574</v>
      </c>
      <c r="H36" s="327">
        <f t="shared" si="3"/>
        <v>5132</v>
      </c>
      <c r="I36" s="328">
        <f t="shared" si="4"/>
        <v>2558</v>
      </c>
      <c r="J36" s="327">
        <f t="shared" si="5"/>
        <v>2558</v>
      </c>
    </row>
    <row r="37" spans="1:10" x14ac:dyDescent="0.25">
      <c r="A37" s="351" t="s">
        <v>424</v>
      </c>
      <c r="B37" s="328" t="s">
        <v>47</v>
      </c>
      <c r="C37" s="46" t="s">
        <v>47</v>
      </c>
      <c r="D37" s="46" t="s">
        <v>47</v>
      </c>
      <c r="E37" s="327"/>
      <c r="F37" s="328" t="str">
        <f t="shared" si="1"/>
        <v/>
      </c>
      <c r="G37" s="46" t="str">
        <f t="shared" si="2"/>
        <v/>
      </c>
      <c r="H37" s="331"/>
      <c r="I37" s="328" t="str">
        <f t="shared" si="4"/>
        <v/>
      </c>
      <c r="J37" s="331"/>
    </row>
    <row r="38" spans="1:10" x14ac:dyDescent="0.25">
      <c r="A38" s="351" t="s">
        <v>425</v>
      </c>
      <c r="B38" s="336">
        <v>0.95599999999999996</v>
      </c>
      <c r="C38" s="332">
        <v>0.95599999999999996</v>
      </c>
      <c r="D38" s="332">
        <v>0.96899999999999997</v>
      </c>
      <c r="E38" s="333">
        <f>((B38*$B$36)+(C38*$C$36)+(D38*$D$36))/$E$36</f>
        <v>0.960912934958156</v>
      </c>
      <c r="F38" s="336">
        <f t="shared" si="1"/>
        <v>0.95599999999999996</v>
      </c>
      <c r="G38" s="332">
        <f t="shared" si="2"/>
        <v>0.96899999999999997</v>
      </c>
      <c r="H38" s="335">
        <f>((F38*$F$36)+(G38*$G$36))/$H$36</f>
        <v>0.9625202650038972</v>
      </c>
      <c r="I38" s="334">
        <f t="shared" si="4"/>
        <v>0.95599999999999996</v>
      </c>
      <c r="J38" s="335">
        <f t="shared" si="5"/>
        <v>0.95599999999999996</v>
      </c>
    </row>
    <row r="39" spans="1:10" x14ac:dyDescent="0.25">
      <c r="A39" s="351" t="s">
        <v>33</v>
      </c>
      <c r="B39" s="336">
        <v>0.77100000000000002</v>
      </c>
      <c r="C39" s="332">
        <v>0.81899999999999995</v>
      </c>
      <c r="D39" s="332">
        <v>0.90900000000000003</v>
      </c>
      <c r="E39" s="333">
        <f t="shared" ref="E39:E60" si="8">((B39*$B$36)+(C39*$C$36)+(D39*$D$36))/$E$36</f>
        <v>0.84118000293642636</v>
      </c>
      <c r="F39" s="336">
        <f t="shared" si="1"/>
        <v>0.81899999999999995</v>
      </c>
      <c r="G39" s="332">
        <f t="shared" si="2"/>
        <v>0.90900000000000003</v>
      </c>
      <c r="H39" s="335">
        <f t="shared" ref="H39:H59" si="9">((F39*$F$36)+(G39*$G$36))/$H$36</f>
        <v>0.86414029618082622</v>
      </c>
      <c r="I39" s="334">
        <f t="shared" si="4"/>
        <v>0.81899999999999995</v>
      </c>
      <c r="J39" s="335">
        <f t="shared" si="5"/>
        <v>0.81899999999999995</v>
      </c>
    </row>
    <row r="40" spans="1:10" x14ac:dyDescent="0.25">
      <c r="A40" s="351" t="s">
        <v>426</v>
      </c>
      <c r="B40" s="336">
        <v>0.185</v>
      </c>
      <c r="C40" s="332">
        <v>0.13700000000000001</v>
      </c>
      <c r="D40" s="332">
        <v>5.8999999999999997E-2</v>
      </c>
      <c r="E40" s="333">
        <f t="shared" si="8"/>
        <v>0.11935501394802525</v>
      </c>
      <c r="F40" s="336">
        <f t="shared" si="1"/>
        <v>0.13700000000000001</v>
      </c>
      <c r="G40" s="332">
        <f t="shared" si="2"/>
        <v>5.8999999999999997E-2</v>
      </c>
      <c r="H40" s="335">
        <f t="shared" si="9"/>
        <v>9.78784099766173E-2</v>
      </c>
      <c r="I40" s="334">
        <f t="shared" si="4"/>
        <v>0.13700000000000001</v>
      </c>
      <c r="J40" s="335">
        <f t="shared" si="5"/>
        <v>0.13700000000000001</v>
      </c>
    </row>
    <row r="41" spans="1:10" x14ac:dyDescent="0.25">
      <c r="A41" s="351" t="s">
        <v>35</v>
      </c>
      <c r="B41" s="336">
        <v>0.185</v>
      </c>
      <c r="C41" s="332">
        <v>0.109</v>
      </c>
      <c r="D41" s="332">
        <v>4.7E-2</v>
      </c>
      <c r="E41" s="333">
        <f t="shared" si="8"/>
        <v>0.1043040669505212</v>
      </c>
      <c r="F41" s="336">
        <f t="shared" si="1"/>
        <v>0.109</v>
      </c>
      <c r="G41" s="332">
        <f t="shared" si="2"/>
        <v>4.7E-2</v>
      </c>
      <c r="H41" s="335">
        <f t="shared" si="9"/>
        <v>7.7903351519875291E-2</v>
      </c>
      <c r="I41" s="334">
        <f t="shared" si="4"/>
        <v>0.109</v>
      </c>
      <c r="J41" s="335">
        <f t="shared" si="5"/>
        <v>0.109</v>
      </c>
    </row>
    <row r="42" spans="1:10" x14ac:dyDescent="0.25">
      <c r="A42" s="351" t="s">
        <v>36</v>
      </c>
      <c r="B42" s="336">
        <v>0</v>
      </c>
      <c r="C42" s="332">
        <v>2.3E-2</v>
      </c>
      <c r="D42" s="332">
        <v>6.0000000000000001E-3</v>
      </c>
      <c r="E42" s="333">
        <f t="shared" si="8"/>
        <v>1.0905593892233152E-2</v>
      </c>
      <c r="F42" s="336">
        <f t="shared" si="1"/>
        <v>2.3E-2</v>
      </c>
      <c r="G42" s="332">
        <f t="shared" si="2"/>
        <v>6.0000000000000001E-3</v>
      </c>
      <c r="H42" s="335">
        <f t="shared" si="9"/>
        <v>1.4473499610288385E-2</v>
      </c>
      <c r="I42" s="334">
        <f t="shared" si="4"/>
        <v>2.3E-2</v>
      </c>
      <c r="J42" s="335">
        <f t="shared" si="5"/>
        <v>2.3E-2</v>
      </c>
    </row>
    <row r="43" spans="1:10" x14ac:dyDescent="0.25">
      <c r="A43" s="351" t="s">
        <v>427</v>
      </c>
      <c r="B43" s="336">
        <v>0</v>
      </c>
      <c r="C43" s="332">
        <v>5.0000000000000001E-3</v>
      </c>
      <c r="D43" s="332">
        <v>7.0000000000000001E-3</v>
      </c>
      <c r="E43" s="333">
        <f t="shared" si="8"/>
        <v>4.5232711789751868E-3</v>
      </c>
      <c r="F43" s="336">
        <f t="shared" si="1"/>
        <v>5.0000000000000001E-3</v>
      </c>
      <c r="G43" s="332">
        <f t="shared" si="2"/>
        <v>7.0000000000000001E-3</v>
      </c>
      <c r="H43" s="335">
        <f t="shared" si="9"/>
        <v>6.0031176929072486E-3</v>
      </c>
      <c r="I43" s="334">
        <f t="shared" si="4"/>
        <v>5.0000000000000001E-3</v>
      </c>
      <c r="J43" s="335">
        <f t="shared" si="5"/>
        <v>5.0000000000000001E-3</v>
      </c>
    </row>
    <row r="44" spans="1:10" x14ac:dyDescent="0.25">
      <c r="A44" s="351" t="s">
        <v>428</v>
      </c>
      <c r="B44" s="340">
        <v>1.1100000000000001</v>
      </c>
      <c r="C44" s="337">
        <v>1.08</v>
      </c>
      <c r="D44" s="337">
        <v>1.03</v>
      </c>
      <c r="E44" s="338">
        <f t="shared" si="8"/>
        <v>1.0684994861253854</v>
      </c>
      <c r="F44" s="340">
        <f t="shared" si="1"/>
        <v>1.08</v>
      </c>
      <c r="G44" s="337">
        <f t="shared" si="2"/>
        <v>1.03</v>
      </c>
      <c r="H44" s="353">
        <f t="shared" si="9"/>
        <v>1.0549220576773188</v>
      </c>
      <c r="I44" s="339">
        <f t="shared" si="4"/>
        <v>1.08</v>
      </c>
      <c r="J44" s="331">
        <f t="shared" si="5"/>
        <v>1.08</v>
      </c>
    </row>
    <row r="45" spans="1:10" x14ac:dyDescent="0.25">
      <c r="A45" s="351" t="s">
        <v>429</v>
      </c>
      <c r="B45" s="336">
        <v>1.0999999999999999E-2</v>
      </c>
      <c r="C45" s="332">
        <v>0</v>
      </c>
      <c r="D45" s="332">
        <v>0</v>
      </c>
      <c r="E45" s="333">
        <f t="shared" si="8"/>
        <v>2.711642930553516E-3</v>
      </c>
      <c r="F45" s="336">
        <f t="shared" si="1"/>
        <v>0</v>
      </c>
      <c r="G45" s="332">
        <f t="shared" si="2"/>
        <v>0</v>
      </c>
      <c r="H45" s="335">
        <f t="shared" si="9"/>
        <v>0</v>
      </c>
      <c r="I45" s="334">
        <f t="shared" si="4"/>
        <v>0</v>
      </c>
      <c r="J45" s="335">
        <f t="shared" si="5"/>
        <v>0</v>
      </c>
    </row>
    <row r="46" spans="1:10" x14ac:dyDescent="0.25">
      <c r="A46" s="351" t="s">
        <v>41</v>
      </c>
      <c r="B46" s="336">
        <v>0</v>
      </c>
      <c r="C46" s="332">
        <v>4.0000000000000001E-3</v>
      </c>
      <c r="D46" s="332">
        <v>0</v>
      </c>
      <c r="E46" s="333">
        <f t="shared" si="8"/>
        <v>1.5022757304360595E-3</v>
      </c>
      <c r="F46" s="336">
        <f t="shared" si="1"/>
        <v>4.0000000000000001E-3</v>
      </c>
      <c r="G46" s="332">
        <f t="shared" si="2"/>
        <v>0</v>
      </c>
      <c r="H46" s="335">
        <f t="shared" si="9"/>
        <v>1.9937646141855031E-3</v>
      </c>
      <c r="I46" s="334">
        <f t="shared" si="4"/>
        <v>4.0000000000000001E-3</v>
      </c>
      <c r="J46" s="335">
        <f t="shared" si="5"/>
        <v>4.0000000000000001E-3</v>
      </c>
    </row>
    <row r="47" spans="1:10" x14ac:dyDescent="0.25">
      <c r="A47" s="351" t="s">
        <v>40</v>
      </c>
      <c r="B47" s="336">
        <v>0</v>
      </c>
      <c r="C47" s="332">
        <v>0</v>
      </c>
      <c r="D47" s="332">
        <v>0</v>
      </c>
      <c r="E47" s="333">
        <f t="shared" si="8"/>
        <v>0</v>
      </c>
      <c r="F47" s="336">
        <f t="shared" si="1"/>
        <v>0</v>
      </c>
      <c r="G47" s="332">
        <f t="shared" si="2"/>
        <v>0</v>
      </c>
      <c r="H47" s="335">
        <f t="shared" si="9"/>
        <v>0</v>
      </c>
      <c r="I47" s="334">
        <f t="shared" si="4"/>
        <v>0</v>
      </c>
      <c r="J47" s="335">
        <f t="shared" si="5"/>
        <v>0</v>
      </c>
    </row>
    <row r="48" spans="1:10" x14ac:dyDescent="0.25">
      <c r="A48" s="351" t="s">
        <v>430</v>
      </c>
      <c r="B48" s="336">
        <v>1.2E-2</v>
      </c>
      <c r="C48" s="332">
        <v>2.1000000000000001E-2</v>
      </c>
      <c r="D48" s="332">
        <v>7.0000000000000001E-3</v>
      </c>
      <c r="E48" s="333">
        <f t="shared" si="8"/>
        <v>1.3490530024959623E-2</v>
      </c>
      <c r="F48" s="336">
        <f t="shared" si="1"/>
        <v>2.1000000000000001E-2</v>
      </c>
      <c r="G48" s="332">
        <f t="shared" si="2"/>
        <v>7.0000000000000001E-3</v>
      </c>
      <c r="H48" s="335">
        <f t="shared" si="9"/>
        <v>1.397817614964926E-2</v>
      </c>
      <c r="I48" s="334">
        <f t="shared" si="4"/>
        <v>2.1000000000000001E-2</v>
      </c>
      <c r="J48" s="335">
        <f t="shared" si="5"/>
        <v>2.1000000000000001E-2</v>
      </c>
    </row>
    <row r="49" spans="1:10" x14ac:dyDescent="0.25">
      <c r="A49" s="351" t="s">
        <v>42</v>
      </c>
      <c r="B49" s="336">
        <v>2.1000000000000001E-2</v>
      </c>
      <c r="C49" s="332">
        <v>0.02</v>
      </c>
      <c r="D49" s="332">
        <v>2.5000000000000001E-2</v>
      </c>
      <c r="E49" s="333">
        <f t="shared" si="8"/>
        <v>2.2136103362208195E-2</v>
      </c>
      <c r="F49" s="336">
        <f t="shared" si="1"/>
        <v>0.02</v>
      </c>
      <c r="G49" s="332">
        <f t="shared" si="2"/>
        <v>2.5000000000000001E-2</v>
      </c>
      <c r="H49" s="335">
        <f t="shared" si="9"/>
        <v>2.2507794232268126E-2</v>
      </c>
      <c r="I49" s="334">
        <f t="shared" si="4"/>
        <v>0.02</v>
      </c>
      <c r="J49" s="335">
        <f t="shared" si="5"/>
        <v>0.02</v>
      </c>
    </row>
    <row r="50" spans="1:10" x14ac:dyDescent="0.25">
      <c r="A50" s="351" t="s">
        <v>87</v>
      </c>
      <c r="B50" s="344"/>
      <c r="C50" s="341"/>
      <c r="D50" s="341"/>
      <c r="E50" s="331"/>
      <c r="F50" s="336"/>
      <c r="G50" s="332"/>
      <c r="H50" s="335"/>
      <c r="I50" s="336"/>
      <c r="J50" s="335"/>
    </row>
    <row r="51" spans="1:10" x14ac:dyDescent="0.25">
      <c r="A51" s="351" t="s">
        <v>431</v>
      </c>
      <c r="B51" s="336">
        <v>0.106</v>
      </c>
      <c r="C51" s="332">
        <v>0.108</v>
      </c>
      <c r="D51" s="332">
        <v>6.5000000000000002E-2</v>
      </c>
      <c r="E51" s="333">
        <f t="shared" si="8"/>
        <v>9.1256496843341653E-2</v>
      </c>
      <c r="F51" s="336">
        <f t="shared" si="1"/>
        <v>0.108</v>
      </c>
      <c r="G51" s="332">
        <f t="shared" si="2"/>
        <v>6.5000000000000002E-2</v>
      </c>
      <c r="H51" s="335">
        <f t="shared" si="9"/>
        <v>8.643296960249415E-2</v>
      </c>
      <c r="I51" s="334">
        <f t="shared" si="4"/>
        <v>0.108</v>
      </c>
      <c r="J51" s="335">
        <f t="shared" si="5"/>
        <v>0.108</v>
      </c>
    </row>
    <row r="52" spans="1:10" x14ac:dyDescent="0.25">
      <c r="A52" s="351" t="s">
        <v>432</v>
      </c>
      <c r="B52" s="336">
        <v>0.156</v>
      </c>
      <c r="C52" s="332">
        <v>0.14099999999999999</v>
      </c>
      <c r="D52" s="332">
        <v>0.16400000000000001</v>
      </c>
      <c r="E52" s="333">
        <f t="shared" si="8"/>
        <v>0.15338981060049917</v>
      </c>
      <c r="F52" s="336">
        <f t="shared" si="1"/>
        <v>0.14099999999999999</v>
      </c>
      <c r="G52" s="332">
        <f t="shared" si="2"/>
        <v>0.16400000000000001</v>
      </c>
      <c r="H52" s="335">
        <f t="shared" si="9"/>
        <v>0.15253585346843335</v>
      </c>
      <c r="I52" s="334">
        <f t="shared" si="4"/>
        <v>0.14099999999999999</v>
      </c>
      <c r="J52" s="335">
        <f t="shared" si="5"/>
        <v>0.14099999999999999</v>
      </c>
    </row>
    <row r="53" spans="1:10" x14ac:dyDescent="0.25">
      <c r="A53" s="351" t="s">
        <v>433</v>
      </c>
      <c r="B53" s="336">
        <v>0.18</v>
      </c>
      <c r="C53" s="332">
        <v>0.26600000000000001</v>
      </c>
      <c r="D53" s="332">
        <v>0.26300000000000001</v>
      </c>
      <c r="E53" s="333">
        <f t="shared" si="8"/>
        <v>0.24366612832183232</v>
      </c>
      <c r="F53" s="336">
        <f t="shared" si="1"/>
        <v>0.26600000000000001</v>
      </c>
      <c r="G53" s="332">
        <f t="shared" si="2"/>
        <v>0.26300000000000001</v>
      </c>
      <c r="H53" s="335">
        <f t="shared" si="9"/>
        <v>0.26449532346063909</v>
      </c>
      <c r="I53" s="334">
        <f t="shared" si="4"/>
        <v>0.26600000000000001</v>
      </c>
      <c r="J53" s="335">
        <f t="shared" si="5"/>
        <v>0.26600000000000001</v>
      </c>
    </row>
    <row r="54" spans="1:10" x14ac:dyDescent="0.25">
      <c r="A54" s="351" t="s">
        <v>434</v>
      </c>
      <c r="B54" s="336">
        <v>0.23899999999999999</v>
      </c>
      <c r="C54" s="332">
        <v>0.22500000000000001</v>
      </c>
      <c r="D54" s="332">
        <v>0.26500000000000001</v>
      </c>
      <c r="E54" s="333">
        <f t="shared" si="8"/>
        <v>0.24356790485978569</v>
      </c>
      <c r="F54" s="336">
        <f t="shared" si="1"/>
        <v>0.22500000000000001</v>
      </c>
      <c r="G54" s="332">
        <f t="shared" si="2"/>
        <v>0.26500000000000001</v>
      </c>
      <c r="H54" s="335">
        <f t="shared" si="9"/>
        <v>0.24506235385814498</v>
      </c>
      <c r="I54" s="334">
        <f t="shared" si="4"/>
        <v>0.22500000000000001</v>
      </c>
      <c r="J54" s="335">
        <f t="shared" si="5"/>
        <v>0.22500000000000001</v>
      </c>
    </row>
    <row r="55" spans="1:10" x14ac:dyDescent="0.25">
      <c r="A55" s="351" t="s">
        <v>435</v>
      </c>
      <c r="B55" s="336">
        <v>3.3000000000000002E-2</v>
      </c>
      <c r="C55" s="332">
        <v>7.8E-2</v>
      </c>
      <c r="D55" s="332">
        <v>3.3000000000000002E-2</v>
      </c>
      <c r="E55" s="333">
        <f t="shared" si="8"/>
        <v>4.9900601967405672E-2</v>
      </c>
      <c r="F55" s="336">
        <f t="shared" si="1"/>
        <v>7.8E-2</v>
      </c>
      <c r="G55" s="332">
        <f t="shared" si="2"/>
        <v>3.3000000000000002E-2</v>
      </c>
      <c r="H55" s="335">
        <f t="shared" si="9"/>
        <v>5.5429851909586908E-2</v>
      </c>
      <c r="I55" s="334">
        <f t="shared" si="4"/>
        <v>7.8E-2</v>
      </c>
      <c r="J55" s="335">
        <f t="shared" si="5"/>
        <v>7.8E-2</v>
      </c>
    </row>
    <row r="56" spans="1:10" x14ac:dyDescent="0.25">
      <c r="A56" s="351" t="s">
        <v>436</v>
      </c>
      <c r="B56" s="336">
        <v>0.17399999999999999</v>
      </c>
      <c r="C56" s="332">
        <v>0.121</v>
      </c>
      <c r="D56" s="332">
        <v>0.14599999999999999</v>
      </c>
      <c r="E56" s="333">
        <f t="shared" si="8"/>
        <v>0.14351314050800176</v>
      </c>
      <c r="F56" s="336">
        <f t="shared" si="1"/>
        <v>0.121</v>
      </c>
      <c r="G56" s="332">
        <f t="shared" si="2"/>
        <v>0.14599999999999999</v>
      </c>
      <c r="H56" s="335">
        <f t="shared" si="9"/>
        <v>0.13353897116134059</v>
      </c>
      <c r="I56" s="334">
        <f t="shared" si="4"/>
        <v>0.121</v>
      </c>
      <c r="J56" s="335">
        <f t="shared" si="5"/>
        <v>0.121</v>
      </c>
    </row>
    <row r="57" spans="1:10" x14ac:dyDescent="0.25">
      <c r="A57" s="351" t="s">
        <v>437</v>
      </c>
      <c r="B57" s="336">
        <v>3.3000000000000002E-2</v>
      </c>
      <c r="C57" s="332">
        <v>1.9E-2</v>
      </c>
      <c r="D57" s="332">
        <v>2.1000000000000001E-2</v>
      </c>
      <c r="E57" s="333">
        <f t="shared" si="8"/>
        <v>2.3207018059022168E-2</v>
      </c>
      <c r="F57" s="336">
        <f t="shared" si="1"/>
        <v>1.9E-2</v>
      </c>
      <c r="G57" s="332">
        <f t="shared" si="2"/>
        <v>2.1000000000000001E-2</v>
      </c>
      <c r="H57" s="335">
        <f t="shared" si="9"/>
        <v>2.000311769290725E-2</v>
      </c>
      <c r="I57" s="334">
        <f t="shared" si="4"/>
        <v>1.9E-2</v>
      </c>
      <c r="J57" s="335">
        <f t="shared" si="5"/>
        <v>1.9E-2</v>
      </c>
    </row>
    <row r="58" spans="1:10" x14ac:dyDescent="0.25">
      <c r="A58" s="351" t="s">
        <v>438</v>
      </c>
      <c r="B58" s="336">
        <v>7.2999999999999995E-2</v>
      </c>
      <c r="C58" s="332">
        <v>1.7999999999999999E-2</v>
      </c>
      <c r="D58" s="332">
        <v>0.02</v>
      </c>
      <c r="E58" s="333">
        <f t="shared" si="8"/>
        <v>3.2314050800176186E-2</v>
      </c>
      <c r="F58" s="336">
        <f t="shared" si="1"/>
        <v>1.7999999999999999E-2</v>
      </c>
      <c r="G58" s="332">
        <f t="shared" si="2"/>
        <v>0.02</v>
      </c>
      <c r="H58" s="335">
        <f t="shared" si="9"/>
        <v>1.9003117692907249E-2</v>
      </c>
      <c r="I58" s="334">
        <f t="shared" si="4"/>
        <v>1.7999999999999999E-2</v>
      </c>
      <c r="J58" s="335">
        <f t="shared" si="5"/>
        <v>1.7999999999999999E-2</v>
      </c>
    </row>
    <row r="59" spans="1:10" x14ac:dyDescent="0.25">
      <c r="A59" s="351" t="s">
        <v>439</v>
      </c>
      <c r="B59" s="336">
        <v>7.0000000000000001E-3</v>
      </c>
      <c r="C59" s="332">
        <v>2.4E-2</v>
      </c>
      <c r="D59" s="332">
        <v>2.4E-2</v>
      </c>
      <c r="E59" s="333">
        <f t="shared" si="8"/>
        <v>1.9809279107326386E-2</v>
      </c>
      <c r="F59" s="336">
        <f t="shared" si="1"/>
        <v>2.4E-2</v>
      </c>
      <c r="G59" s="332">
        <f t="shared" si="2"/>
        <v>2.4E-2</v>
      </c>
      <c r="H59" s="335">
        <f t="shared" si="9"/>
        <v>2.4E-2</v>
      </c>
      <c r="I59" s="334">
        <f t="shared" si="4"/>
        <v>2.4E-2</v>
      </c>
      <c r="J59" s="335">
        <f t="shared" si="5"/>
        <v>2.4E-2</v>
      </c>
    </row>
    <row r="60" spans="1:10" x14ac:dyDescent="0.25">
      <c r="A60" s="351" t="s">
        <v>88</v>
      </c>
      <c r="B60" s="344">
        <v>20.6</v>
      </c>
      <c r="C60" s="341">
        <v>19.399999999999999</v>
      </c>
      <c r="D60" s="341">
        <v>20.9</v>
      </c>
      <c r="E60" s="342">
        <f t="shared" si="8"/>
        <v>20.262692702980473</v>
      </c>
      <c r="F60" s="344">
        <f t="shared" si="1"/>
        <v>19.399999999999999</v>
      </c>
      <c r="G60" s="341">
        <f t="shared" si="2"/>
        <v>20.9</v>
      </c>
      <c r="H60" s="353">
        <f>((F60*$F$36)+(G60*$G$36))/$H$36</f>
        <v>20.152338269680435</v>
      </c>
      <c r="I60" s="343">
        <f t="shared" si="4"/>
        <v>19.399999999999999</v>
      </c>
      <c r="J60" s="331">
        <f t="shared" si="5"/>
        <v>19.399999999999999</v>
      </c>
    </row>
    <row r="61" spans="1:10" x14ac:dyDescent="0.25">
      <c r="A61" s="351" t="s">
        <v>89</v>
      </c>
      <c r="B61" s="344"/>
      <c r="C61" s="341"/>
      <c r="D61" s="341"/>
      <c r="E61" s="331"/>
      <c r="F61" s="344">
        <f t="shared" si="1"/>
        <v>0</v>
      </c>
      <c r="G61" s="341">
        <f t="shared" si="2"/>
        <v>0</v>
      </c>
      <c r="H61" s="331"/>
      <c r="I61" s="344">
        <f t="shared" si="4"/>
        <v>0</v>
      </c>
      <c r="J61" s="331"/>
    </row>
    <row r="62" spans="1:10" x14ac:dyDescent="0.25">
      <c r="A62" s="351" t="s">
        <v>440</v>
      </c>
      <c r="B62" s="328">
        <v>1679</v>
      </c>
      <c r="C62" s="46">
        <v>2558</v>
      </c>
      <c r="D62" s="46">
        <v>2574</v>
      </c>
      <c r="E62" s="327">
        <f>SUM(B62:D62)</f>
        <v>6811</v>
      </c>
      <c r="F62" s="328">
        <f t="shared" si="1"/>
        <v>2558</v>
      </c>
      <c r="G62" s="46">
        <f t="shared" si="2"/>
        <v>2574</v>
      </c>
      <c r="H62" s="345">
        <f t="shared" si="3"/>
        <v>5132</v>
      </c>
      <c r="I62" s="328">
        <f t="shared" si="4"/>
        <v>2558</v>
      </c>
      <c r="J62" s="345">
        <f t="shared" si="5"/>
        <v>2558</v>
      </c>
    </row>
    <row r="63" spans="1:10" x14ac:dyDescent="0.25">
      <c r="A63" s="351" t="s">
        <v>441</v>
      </c>
      <c r="B63" s="336">
        <v>0</v>
      </c>
      <c r="C63" s="332">
        <v>7.0000000000000001E-3</v>
      </c>
      <c r="D63" s="332">
        <v>2.5999999999999999E-2</v>
      </c>
      <c r="E63" s="335">
        <f>((B63*$B$62)+(C63*$C$62)+(D63*$D$62))/$E$62</f>
        <v>1.245485244457495E-2</v>
      </c>
      <c r="F63" s="336">
        <f t="shared" si="1"/>
        <v>7.0000000000000001E-3</v>
      </c>
      <c r="G63" s="332">
        <f t="shared" si="2"/>
        <v>2.5999999999999999E-2</v>
      </c>
      <c r="H63" s="335">
        <f>((F63*$F$62)+(G63*$G$62))/$H$62</f>
        <v>1.6529618082618859E-2</v>
      </c>
      <c r="I63" s="336">
        <f t="shared" si="4"/>
        <v>7.0000000000000001E-3</v>
      </c>
      <c r="J63" s="335">
        <f t="shared" si="5"/>
        <v>7.0000000000000001E-3</v>
      </c>
    </row>
    <row r="64" spans="1:10" x14ac:dyDescent="0.25">
      <c r="A64" s="351" t="s">
        <v>442</v>
      </c>
      <c r="B64" s="336">
        <v>0.14499999999999999</v>
      </c>
      <c r="C64" s="332">
        <v>0.245</v>
      </c>
      <c r="D64" s="332">
        <v>0.1</v>
      </c>
      <c r="E64" s="335">
        <f t="shared" ref="E64:E66" si="10">((B64*$B$62)+(C64*$C$62)+(D64*$D$62))/$E$62</f>
        <v>0.16555057994420791</v>
      </c>
      <c r="F64" s="336">
        <f t="shared" si="1"/>
        <v>0.245</v>
      </c>
      <c r="G64" s="332">
        <f t="shared" si="2"/>
        <v>0.1</v>
      </c>
      <c r="H64" s="335">
        <f t="shared" ref="H64:H66" si="11">((F64*$F$62)+(G64*$G$62))/$H$62</f>
        <v>0.1722739672642245</v>
      </c>
      <c r="I64" s="336">
        <f t="shared" si="4"/>
        <v>0.245</v>
      </c>
      <c r="J64" s="335">
        <f t="shared" si="5"/>
        <v>0.245</v>
      </c>
    </row>
    <row r="65" spans="1:10" x14ac:dyDescent="0.25">
      <c r="A65" s="351" t="s">
        <v>443</v>
      </c>
      <c r="B65" s="336">
        <v>0.53800000000000003</v>
      </c>
      <c r="C65" s="332">
        <v>0.60799999999999998</v>
      </c>
      <c r="D65" s="332">
        <v>0.59699999999999998</v>
      </c>
      <c r="E65" s="335">
        <f t="shared" si="10"/>
        <v>0.58658699163118477</v>
      </c>
      <c r="F65" s="336">
        <f t="shared" si="1"/>
        <v>0.60799999999999998</v>
      </c>
      <c r="G65" s="332">
        <f t="shared" si="2"/>
        <v>0.59699999999999998</v>
      </c>
      <c r="H65" s="335">
        <f t="shared" si="11"/>
        <v>0.60248285268901014</v>
      </c>
      <c r="I65" s="336">
        <f t="shared" si="4"/>
        <v>0.60799999999999998</v>
      </c>
      <c r="J65" s="335">
        <f t="shared" si="5"/>
        <v>0.60799999999999998</v>
      </c>
    </row>
    <row r="66" spans="1:10" ht="15.75" thickBot="1" x14ac:dyDescent="0.3">
      <c r="A66" s="352" t="s">
        <v>444</v>
      </c>
      <c r="B66" s="348">
        <v>0.317</v>
      </c>
      <c r="C66" s="346">
        <v>0.14099999999999999</v>
      </c>
      <c r="D66" s="346">
        <v>0.27700000000000002</v>
      </c>
      <c r="E66" s="347">
        <f t="shared" si="10"/>
        <v>0.23578314491264132</v>
      </c>
      <c r="F66" s="348">
        <f t="shared" si="1"/>
        <v>0.14099999999999999</v>
      </c>
      <c r="G66" s="346">
        <f t="shared" si="2"/>
        <v>0.27700000000000002</v>
      </c>
      <c r="H66" s="347">
        <f t="shared" si="11"/>
        <v>0.20921200311769289</v>
      </c>
      <c r="I66" s="348">
        <f t="shared" si="4"/>
        <v>0.14099999999999999</v>
      </c>
      <c r="J66" s="347">
        <f t="shared" si="5"/>
        <v>0.14099999999999999</v>
      </c>
    </row>
  </sheetData>
  <sheetProtection password="891C" sheet="1" objects="1" scenarios="1"/>
  <mergeCells count="3">
    <mergeCell ref="B1:E1"/>
    <mergeCell ref="F1:H1"/>
    <mergeCell ref="I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80" zoomScaleNormal="80" workbookViewId="0">
      <selection activeCell="K27" sqref="K27"/>
    </sheetView>
  </sheetViews>
  <sheetFormatPr defaultRowHeight="15" x14ac:dyDescent="0.25"/>
  <cols>
    <col min="1" max="1" width="40.140625" style="499" customWidth="1"/>
    <col min="2" max="9" width="14.7109375" style="450" customWidth="1"/>
    <col min="10" max="10" width="15.85546875" style="450" bestFit="1" customWidth="1"/>
    <col min="11" max="16384" width="9.140625" style="450"/>
  </cols>
  <sheetData>
    <row r="1" spans="1:9" x14ac:dyDescent="0.25">
      <c r="A1" s="638" t="s">
        <v>445</v>
      </c>
      <c r="B1" s="639"/>
      <c r="C1" s="639"/>
      <c r="D1" s="639"/>
      <c r="E1" s="639"/>
      <c r="F1" s="639"/>
      <c r="G1" s="639"/>
      <c r="H1" s="639"/>
      <c r="I1" s="639"/>
    </row>
    <row r="2" spans="1:9" s="451" customFormat="1" x14ac:dyDescent="0.25">
      <c r="A2" s="494"/>
      <c r="B2" s="304" t="s">
        <v>495</v>
      </c>
      <c r="C2" s="304" t="s">
        <v>496</v>
      </c>
      <c r="D2" s="304" t="s">
        <v>497</v>
      </c>
      <c r="E2" s="304" t="s">
        <v>498</v>
      </c>
      <c r="F2" s="304" t="s">
        <v>499</v>
      </c>
      <c r="G2" s="304" t="s">
        <v>500</v>
      </c>
      <c r="H2" s="304" t="s">
        <v>501</v>
      </c>
      <c r="I2" s="478" t="s">
        <v>0</v>
      </c>
    </row>
    <row r="3" spans="1:9" x14ac:dyDescent="0.25">
      <c r="A3" s="494" t="s">
        <v>1</v>
      </c>
      <c r="B3" s="479"/>
      <c r="C3" s="479"/>
      <c r="D3" s="479">
        <f>'0.5 Mi Zone Seperation'!Z3</f>
        <v>3602.1666666666665</v>
      </c>
      <c r="E3" s="479">
        <f>'0.5 Mi Zone Seperation'!AD3</f>
        <v>3499.833333333333</v>
      </c>
      <c r="F3" s="479"/>
      <c r="G3" s="479">
        <f>'0.5 Mi Zone Seperation'!AK3</f>
        <v>5202</v>
      </c>
      <c r="H3" s="479">
        <f>'0.5 Mi Zone Seperation'!AO3</f>
        <v>3953.833333333333</v>
      </c>
      <c r="I3" s="480">
        <f t="shared" ref="I3:I36" si="0">SUM(B3:H3)</f>
        <v>16257.833333333332</v>
      </c>
    </row>
    <row r="4" spans="1:9" x14ac:dyDescent="0.25">
      <c r="A4" s="494" t="s">
        <v>2</v>
      </c>
      <c r="B4" s="479"/>
      <c r="C4" s="479"/>
      <c r="D4" s="479">
        <f>'0.5 Mi Zone Seperation'!Z4</f>
        <v>119.87966666666665</v>
      </c>
      <c r="E4" s="479">
        <f>'0.5 Mi Zone Seperation'!AD4</f>
        <v>99.875333333333316</v>
      </c>
      <c r="F4" s="479"/>
      <c r="G4" s="479">
        <f>'0.5 Mi Zone Seperation'!AK4</f>
        <v>297.40750000000003</v>
      </c>
      <c r="H4" s="479">
        <f>'0.5 Mi Zone Seperation'!AO4</f>
        <v>292.24083333333334</v>
      </c>
      <c r="I4" s="480">
        <f t="shared" si="0"/>
        <v>809.40333333333342</v>
      </c>
    </row>
    <row r="5" spans="1:9" x14ac:dyDescent="0.25">
      <c r="A5" s="494" t="s">
        <v>3</v>
      </c>
      <c r="B5" s="479"/>
      <c r="C5" s="479"/>
      <c r="D5" s="479">
        <f>'0.5 Mi Zone Seperation'!Z5</f>
        <v>53.475333333333325</v>
      </c>
      <c r="E5" s="479">
        <f>'0.5 Mi Zone Seperation'!AD5</f>
        <v>52.587333333333333</v>
      </c>
      <c r="F5" s="479"/>
      <c r="G5" s="479">
        <f>'0.5 Mi Zone Seperation'!AK5</f>
        <v>249.46899999999999</v>
      </c>
      <c r="H5" s="479">
        <f>'0.5 Mi Zone Seperation'!AO5</f>
        <v>134.63933333333333</v>
      </c>
      <c r="I5" s="480">
        <f t="shared" si="0"/>
        <v>490.17099999999994</v>
      </c>
    </row>
    <row r="6" spans="1:9" x14ac:dyDescent="0.25">
      <c r="A6" s="494" t="s">
        <v>4</v>
      </c>
      <c r="B6" s="479"/>
      <c r="C6" s="479"/>
      <c r="D6" s="479">
        <f>'0.5 Mi Zone Seperation'!Z6</f>
        <v>72.920833333333334</v>
      </c>
      <c r="E6" s="479">
        <f>'0.5 Mi Zone Seperation'!AD6</f>
        <v>51.008499999999998</v>
      </c>
      <c r="F6" s="479"/>
      <c r="G6" s="479">
        <f>'0.5 Mi Zone Seperation'!AK6</f>
        <v>350.91</v>
      </c>
      <c r="H6" s="479">
        <f>'0.5 Mi Zone Seperation'!AO6</f>
        <v>205.22550000000001</v>
      </c>
      <c r="I6" s="480">
        <f t="shared" si="0"/>
        <v>680.06483333333335</v>
      </c>
    </row>
    <row r="7" spans="1:9" x14ac:dyDescent="0.25">
      <c r="A7" s="494" t="s">
        <v>5</v>
      </c>
      <c r="B7" s="479"/>
      <c r="C7" s="479"/>
      <c r="D7" s="479">
        <f>'0.5 Mi Zone Seperation'!Z7</f>
        <v>438.02566666666667</v>
      </c>
      <c r="E7" s="479">
        <f>'0.5 Mi Zone Seperation'!AD7</f>
        <v>411.75266666666664</v>
      </c>
      <c r="F7" s="479"/>
      <c r="G7" s="479">
        <f>'0.5 Mi Zone Seperation'!AK7</f>
        <v>403.63250000000005</v>
      </c>
      <c r="H7" s="479">
        <f>'0.5 Mi Zone Seperation'!AO7</f>
        <v>440.54016666666666</v>
      </c>
      <c r="I7" s="480">
        <f t="shared" si="0"/>
        <v>1693.951</v>
      </c>
    </row>
    <row r="8" spans="1:9" x14ac:dyDescent="0.25">
      <c r="A8" s="494" t="s">
        <v>6</v>
      </c>
      <c r="B8" s="479"/>
      <c r="C8" s="479"/>
      <c r="D8" s="479">
        <f>'0.5 Mi Zone Seperation'!Z8</f>
        <v>1323.0711666666666</v>
      </c>
      <c r="E8" s="479">
        <f>'0.5 Mi Zone Seperation'!AD8</f>
        <v>1121.7075</v>
      </c>
      <c r="F8" s="479"/>
      <c r="G8" s="479">
        <f>'0.5 Mi Zone Seperation'!AK8</f>
        <v>1148.49</v>
      </c>
      <c r="H8" s="479">
        <f>'0.5 Mi Zone Seperation'!AO8</f>
        <v>332.3725</v>
      </c>
      <c r="I8" s="480">
        <f t="shared" si="0"/>
        <v>3925.6411666666668</v>
      </c>
    </row>
    <row r="9" spans="1:9" x14ac:dyDescent="0.25">
      <c r="A9" s="494" t="s">
        <v>7</v>
      </c>
      <c r="B9" s="479"/>
      <c r="C9" s="479"/>
      <c r="D9" s="479">
        <f>'0.5 Mi Zone Seperation'!Z9</f>
        <v>313.5915</v>
      </c>
      <c r="E9" s="479">
        <f>'0.5 Mi Zone Seperation'!AD9</f>
        <v>311.39949999999999</v>
      </c>
      <c r="F9" s="479"/>
      <c r="G9" s="479">
        <f>'0.5 Mi Zone Seperation'!AK9</f>
        <v>380.50450000000001</v>
      </c>
      <c r="H9" s="479">
        <f>'0.5 Mi Zone Seperation'!AO9</f>
        <v>269.61099999999999</v>
      </c>
      <c r="I9" s="480">
        <f t="shared" si="0"/>
        <v>1275.1064999999999</v>
      </c>
    </row>
    <row r="10" spans="1:9" x14ac:dyDescent="0.25">
      <c r="A10" s="494" t="s">
        <v>8</v>
      </c>
      <c r="B10" s="479"/>
      <c r="C10" s="479"/>
      <c r="D10" s="479">
        <f>'0.5 Mi Zone Seperation'!Z10</f>
        <v>206.27066666666667</v>
      </c>
      <c r="E10" s="479">
        <f>'0.5 Mi Zone Seperation'!AD10</f>
        <v>212.05733333333333</v>
      </c>
      <c r="F10" s="479"/>
      <c r="G10" s="479">
        <f>'0.5 Mi Zone Seperation'!AK10</f>
        <v>386.1825</v>
      </c>
      <c r="H10" s="479">
        <f>'0.5 Mi Zone Seperation'!AO10</f>
        <v>382.42883333333333</v>
      </c>
      <c r="I10" s="480">
        <f t="shared" si="0"/>
        <v>1186.9393333333333</v>
      </c>
    </row>
    <row r="11" spans="1:9" x14ac:dyDescent="0.25">
      <c r="A11" s="494" t="s">
        <v>9</v>
      </c>
      <c r="B11" s="479"/>
      <c r="C11" s="479"/>
      <c r="D11" s="479">
        <f>'0.5 Mi Zone Seperation'!Z11</f>
        <v>160.51150000000001</v>
      </c>
      <c r="E11" s="479">
        <f>'0.5 Mi Zone Seperation'!AD11</f>
        <v>189.05549999999999</v>
      </c>
      <c r="F11" s="479"/>
      <c r="G11" s="479">
        <f>'0.5 Mi Zone Seperation'!AK11</f>
        <v>297.39699999999999</v>
      </c>
      <c r="H11" s="479">
        <f>'0.5 Mi Zone Seperation'!AO11</f>
        <v>250.4665</v>
      </c>
      <c r="I11" s="480">
        <f t="shared" si="0"/>
        <v>897.43049999999994</v>
      </c>
    </row>
    <row r="12" spans="1:9" x14ac:dyDescent="0.25">
      <c r="A12" s="494" t="s">
        <v>10</v>
      </c>
      <c r="B12" s="479"/>
      <c r="C12" s="479"/>
      <c r="D12" s="479">
        <f>'0.5 Mi Zone Seperation'!Z12</f>
        <v>125.91033333333333</v>
      </c>
      <c r="E12" s="479">
        <f>'0.5 Mi Zone Seperation'!AD12</f>
        <v>175.61733333333336</v>
      </c>
      <c r="F12" s="479"/>
      <c r="G12" s="479">
        <f>'0.5 Mi Zone Seperation'!AK12</f>
        <v>215.07799999999997</v>
      </c>
      <c r="H12" s="479">
        <f>'0.5 Mi Zone Seperation'!AO12</f>
        <v>252.44533333333334</v>
      </c>
      <c r="I12" s="480">
        <f t="shared" si="0"/>
        <v>769.05099999999993</v>
      </c>
    </row>
    <row r="13" spans="1:9" x14ac:dyDescent="0.25">
      <c r="A13" s="494" t="s">
        <v>11</v>
      </c>
      <c r="B13" s="479"/>
      <c r="C13" s="479"/>
      <c r="D13" s="479">
        <f>'0.5 Mi Zone Seperation'!Z13</f>
        <v>129.76533333333333</v>
      </c>
      <c r="E13" s="479">
        <f>'0.5 Mi Zone Seperation'!AD13</f>
        <v>158.07499999999999</v>
      </c>
      <c r="F13" s="479"/>
      <c r="G13" s="479">
        <f>'0.5 Mi Zone Seperation'!AK13</f>
        <v>220.101</v>
      </c>
      <c r="H13" s="479">
        <f>'0.5 Mi Zone Seperation'!AO13</f>
        <v>237.03400000000002</v>
      </c>
      <c r="I13" s="480">
        <f t="shared" si="0"/>
        <v>744.97533333333331</v>
      </c>
    </row>
    <row r="14" spans="1:9" x14ac:dyDescent="0.25">
      <c r="A14" s="494" t="s">
        <v>12</v>
      </c>
      <c r="B14" s="479"/>
      <c r="C14" s="479"/>
      <c r="D14" s="479">
        <f>'0.5 Mi Zone Seperation'!Z14</f>
        <v>150.15116666666665</v>
      </c>
      <c r="E14" s="479">
        <f>'0.5 Mi Zone Seperation'!AD14</f>
        <v>133.00549999999998</v>
      </c>
      <c r="F14" s="479"/>
      <c r="G14" s="479">
        <f>'0.5 Mi Zone Seperation'!AK14</f>
        <v>330.02099999999996</v>
      </c>
      <c r="H14" s="479">
        <f>'0.5 Mi Zone Seperation'!AO14</f>
        <v>280.10550000000001</v>
      </c>
      <c r="I14" s="480">
        <f t="shared" si="0"/>
        <v>893.2831666666666</v>
      </c>
    </row>
    <row r="15" spans="1:9" x14ac:dyDescent="0.25">
      <c r="A15" s="494" t="s">
        <v>13</v>
      </c>
      <c r="B15" s="479"/>
      <c r="C15" s="479"/>
      <c r="D15" s="479">
        <f>'0.5 Mi Zone Seperation'!Z15</f>
        <v>151.14149999999998</v>
      </c>
      <c r="E15" s="479">
        <f>'0.5 Mi Zone Seperation'!AD15</f>
        <v>135.4615</v>
      </c>
      <c r="F15" s="479"/>
      <c r="G15" s="479">
        <f>'0.5 Mi Zone Seperation'!AK15</f>
        <v>330.37450000000001</v>
      </c>
      <c r="H15" s="479">
        <f>'0.5 Mi Zone Seperation'!AO15</f>
        <v>293.221</v>
      </c>
      <c r="I15" s="480">
        <f t="shared" si="0"/>
        <v>910.19849999999997</v>
      </c>
    </row>
    <row r="16" spans="1:9" x14ac:dyDescent="0.25">
      <c r="A16" s="494" t="s">
        <v>14</v>
      </c>
      <c r="B16" s="479"/>
      <c r="C16" s="479"/>
      <c r="D16" s="479">
        <f>'0.5 Mi Zone Seperation'!Z16</f>
        <v>176.84116666666665</v>
      </c>
      <c r="E16" s="479">
        <f>'0.5 Mi Zone Seperation'!AD16</f>
        <v>160.13783333333333</v>
      </c>
      <c r="F16" s="479"/>
      <c r="G16" s="479">
        <f>'0.5 Mi Zone Seperation'!AK16</f>
        <v>246.964</v>
      </c>
      <c r="H16" s="479">
        <f>'0.5 Mi Zone Seperation'!AO16</f>
        <v>189.79883333333333</v>
      </c>
      <c r="I16" s="480">
        <f t="shared" si="0"/>
        <v>773.74183333333326</v>
      </c>
    </row>
    <row r="17" spans="1:9" x14ac:dyDescent="0.25">
      <c r="A17" s="494" t="s">
        <v>15</v>
      </c>
      <c r="B17" s="479"/>
      <c r="C17" s="479"/>
      <c r="D17" s="479">
        <f>'0.5 Mi Zone Seperation'!Z17</f>
        <v>71.077333333333314</v>
      </c>
      <c r="E17" s="479">
        <f>'0.5 Mi Zone Seperation'!AD17</f>
        <v>158.97733333333335</v>
      </c>
      <c r="F17" s="479"/>
      <c r="G17" s="479">
        <f>'0.5 Mi Zone Seperation'!AK17</f>
        <v>75.892499999999998</v>
      </c>
      <c r="H17" s="479">
        <f>'0.5 Mi Zone Seperation'!AO17</f>
        <v>153.42583333333334</v>
      </c>
      <c r="I17" s="480">
        <f t="shared" si="0"/>
        <v>459.37299999999999</v>
      </c>
    </row>
    <row r="18" spans="1:9" x14ac:dyDescent="0.25">
      <c r="A18" s="494" t="s">
        <v>16</v>
      </c>
      <c r="B18" s="479"/>
      <c r="C18" s="479"/>
      <c r="D18" s="479">
        <f>'0.5 Mi Zone Seperation'!Z18</f>
        <v>23.672499999999999</v>
      </c>
      <c r="E18" s="479">
        <f>'0.5 Mi Zone Seperation'!AD18</f>
        <v>34.981833333333327</v>
      </c>
      <c r="F18" s="479"/>
      <c r="G18" s="479">
        <f>'0.5 Mi Zone Seperation'!AK18</f>
        <v>91.171999999999997</v>
      </c>
      <c r="H18" s="479">
        <f>'0.5 Mi Zone Seperation'!AO18</f>
        <v>65.624833333333328</v>
      </c>
      <c r="I18" s="480">
        <f t="shared" si="0"/>
        <v>215.45116666666664</v>
      </c>
    </row>
    <row r="19" spans="1:9" x14ac:dyDescent="0.25">
      <c r="A19" s="494" t="s">
        <v>17</v>
      </c>
      <c r="B19" s="479"/>
      <c r="C19" s="479"/>
      <c r="D19" s="479">
        <f>'0.5 Mi Zone Seperation'!Z19</f>
        <v>41.436999999999998</v>
      </c>
      <c r="E19" s="479">
        <f>'0.5 Mi Zone Seperation'!AD19</f>
        <v>48.521000000000001</v>
      </c>
      <c r="F19" s="479"/>
      <c r="G19" s="479">
        <f>'0.5 Mi Zone Seperation'!AK19</f>
        <v>104.40050000000001</v>
      </c>
      <c r="H19" s="479">
        <f>'0.5 Mi Zone Seperation'!AO19</f>
        <v>93.439499999999995</v>
      </c>
      <c r="I19" s="480">
        <f t="shared" si="0"/>
        <v>287.798</v>
      </c>
    </row>
    <row r="20" spans="1:9" x14ac:dyDescent="0.25">
      <c r="A20" s="494" t="s">
        <v>18</v>
      </c>
      <c r="B20" s="479"/>
      <c r="C20" s="479"/>
      <c r="D20" s="479">
        <f>'0.5 Mi Zone Seperation'!Z20</f>
        <v>18.081666666666667</v>
      </c>
      <c r="E20" s="479">
        <f>'0.5 Mi Zone Seperation'!AD20</f>
        <v>21.214333333333336</v>
      </c>
      <c r="F20" s="479"/>
      <c r="G20" s="479">
        <f>'0.5 Mi Zone Seperation'!AK20</f>
        <v>37.554499999999997</v>
      </c>
      <c r="H20" s="479">
        <f>'0.5 Mi Zone Seperation'!AO20</f>
        <v>41.051833333333335</v>
      </c>
      <c r="I20" s="480">
        <f t="shared" si="0"/>
        <v>117.90233333333335</v>
      </c>
    </row>
    <row r="21" spans="1:9" x14ac:dyDescent="0.25">
      <c r="A21" s="494" t="s">
        <v>19</v>
      </c>
      <c r="B21" s="479"/>
      <c r="C21" s="479"/>
      <c r="D21" s="479">
        <f>'0.5 Mi Zone Seperation'!Z21</f>
        <v>26.033166666666666</v>
      </c>
      <c r="E21" s="479">
        <f>'0.5 Mi Zone Seperation'!AD21</f>
        <v>20.170500000000001</v>
      </c>
      <c r="F21" s="479"/>
      <c r="G21" s="479">
        <f>'0.5 Mi Zone Seperation'!AK21</f>
        <v>36.6235</v>
      </c>
      <c r="H21" s="479">
        <f>'0.5 Mi Zone Seperation'!AO21</f>
        <v>38.731000000000002</v>
      </c>
      <c r="I21" s="480">
        <f t="shared" si="0"/>
        <v>121.55816666666666</v>
      </c>
    </row>
    <row r="22" spans="1:9" x14ac:dyDescent="0.25">
      <c r="A22" s="494" t="s">
        <v>29</v>
      </c>
      <c r="B22" s="479"/>
      <c r="C22" s="479"/>
      <c r="D22" s="479">
        <f>'0.5 Mi Zone Seperation'!Z22</f>
        <v>2917.5560000000005</v>
      </c>
      <c r="E22" s="479">
        <f>'0.5 Mi Zone Seperation'!AD22</f>
        <v>2880.3820000000005</v>
      </c>
      <c r="F22" s="479"/>
      <c r="G22" s="479">
        <f>'0.5 Mi Zone Seperation'!AK22</f>
        <v>3900.7555000000002</v>
      </c>
      <c r="H22" s="479">
        <f>'0.5 Mi Zone Seperation'!AO22</f>
        <v>2879.7565</v>
      </c>
      <c r="I22" s="480">
        <f t="shared" si="0"/>
        <v>12578.45</v>
      </c>
    </row>
    <row r="23" spans="1:9" x14ac:dyDescent="0.25">
      <c r="A23" s="494" t="s">
        <v>21</v>
      </c>
      <c r="B23" s="479"/>
      <c r="C23" s="479"/>
      <c r="D23" s="479">
        <f>'0.5 Mi Zone Seperation'!Z23</f>
        <v>1834.75</v>
      </c>
      <c r="E23" s="479">
        <f>'0.5 Mi Zone Seperation'!AD23</f>
        <v>1863.4166666666665</v>
      </c>
      <c r="F23" s="479"/>
      <c r="G23" s="479">
        <f>'0.5 Mi Zone Seperation'!AK23</f>
        <v>2319.75</v>
      </c>
      <c r="H23" s="479">
        <f>'0.5 Mi Zone Seperation'!AO23</f>
        <v>1886.6666666666665</v>
      </c>
      <c r="I23" s="480">
        <f t="shared" si="0"/>
        <v>7904.5833333333321</v>
      </c>
    </row>
    <row r="24" spans="1:9" x14ac:dyDescent="0.25">
      <c r="A24" s="494" t="s">
        <v>22</v>
      </c>
      <c r="B24" s="479"/>
      <c r="C24" s="479"/>
      <c r="D24" s="479">
        <f>'0.5 Mi Zone Seperation'!Z24</f>
        <v>1767.4166666666665</v>
      </c>
      <c r="E24" s="479">
        <f>'0.5 Mi Zone Seperation'!AD24</f>
        <v>1636.4166666666665</v>
      </c>
      <c r="F24" s="479"/>
      <c r="G24" s="479">
        <f>'0.5 Mi Zone Seperation'!AK24</f>
        <v>2882.25</v>
      </c>
      <c r="H24" s="479">
        <f>'0.5 Mi Zone Seperation'!AO24</f>
        <v>2067.1666666666665</v>
      </c>
      <c r="I24" s="480">
        <f t="shared" si="0"/>
        <v>8353.25</v>
      </c>
    </row>
    <row r="25" spans="1:9" x14ac:dyDescent="0.25">
      <c r="A25" s="494" t="s">
        <v>507</v>
      </c>
      <c r="B25" s="479"/>
      <c r="C25" s="479"/>
      <c r="D25" s="479">
        <f>'0.5 Mi Zone Seperation'!Z25</f>
        <v>2557</v>
      </c>
      <c r="E25" s="479">
        <f>'0.5 Mi Zone Seperation'!AD25</f>
        <v>2475.833333333333</v>
      </c>
      <c r="F25" s="479"/>
      <c r="G25" s="479">
        <f>'0.5 Mi Zone Seperation'!AK25</f>
        <v>2801</v>
      </c>
      <c r="H25" s="479">
        <f>'0.5 Mi Zone Seperation'!AO25</f>
        <v>1882.5833333333333</v>
      </c>
      <c r="I25" s="480">
        <f t="shared" si="0"/>
        <v>9716.4166666666661</v>
      </c>
    </row>
    <row r="26" spans="1:9" x14ac:dyDescent="0.25">
      <c r="A26" s="494" t="s">
        <v>30</v>
      </c>
      <c r="B26" s="479"/>
      <c r="C26" s="479"/>
      <c r="D26" s="479">
        <f>'0.5 Mi Zone Seperation'!Z26</f>
        <v>689.33333333333326</v>
      </c>
      <c r="E26" s="479">
        <f>'0.5 Mi Zone Seperation'!AD26</f>
        <v>814.66666666666663</v>
      </c>
      <c r="F26" s="479"/>
      <c r="G26" s="479">
        <f>'0.5 Mi Zone Seperation'!AK26</f>
        <v>1316</v>
      </c>
      <c r="H26" s="479">
        <f>'0.5 Mi Zone Seperation'!AO26</f>
        <v>814.66666666666663</v>
      </c>
      <c r="I26" s="480">
        <f t="shared" si="0"/>
        <v>3634.6666666666665</v>
      </c>
    </row>
    <row r="27" spans="1:9" x14ac:dyDescent="0.25">
      <c r="A27" s="494" t="s">
        <v>24</v>
      </c>
      <c r="B27" s="479"/>
      <c r="C27" s="479"/>
      <c r="D27" s="479">
        <f>'0.5 Mi Zone Seperation'!Z27</f>
        <v>72.166666666666657</v>
      </c>
      <c r="E27" s="479">
        <f>'0.5 Mi Zone Seperation'!AD27</f>
        <v>94.166666666666657</v>
      </c>
      <c r="F27" s="479"/>
      <c r="G27" s="479">
        <f>'0.5 Mi Zone Seperation'!AK27</f>
        <v>776</v>
      </c>
      <c r="H27" s="479">
        <f>'0.5 Mi Zone Seperation'!AO27</f>
        <v>693.16666666666663</v>
      </c>
      <c r="I27" s="480">
        <f t="shared" si="0"/>
        <v>1635.5</v>
      </c>
    </row>
    <row r="28" spans="1:9" x14ac:dyDescent="0.25">
      <c r="A28" s="494" t="s">
        <v>508</v>
      </c>
      <c r="B28" s="479"/>
      <c r="C28" s="479"/>
      <c r="D28" s="479">
        <f>'0.5 Mi Zone Seperation'!Z28</f>
        <v>1605.3333333333333</v>
      </c>
      <c r="E28" s="479">
        <f>'0.5 Mi Zone Seperation'!AD28</f>
        <v>1511.8333333333333</v>
      </c>
      <c r="F28" s="479"/>
      <c r="G28" s="479">
        <f>'0.5 Mi Zone Seperation'!AK28</f>
        <v>2161.5</v>
      </c>
      <c r="H28" s="479">
        <f>'0.5 Mi Zone Seperation'!AO28</f>
        <v>1674.0833333333333</v>
      </c>
      <c r="I28" s="480">
        <f t="shared" si="0"/>
        <v>6952.7499999999991</v>
      </c>
    </row>
    <row r="29" spans="1:9" x14ac:dyDescent="0.25">
      <c r="A29" s="494" t="s">
        <v>25</v>
      </c>
      <c r="B29" s="479"/>
      <c r="C29" s="479"/>
      <c r="D29" s="479">
        <f>'0.5 Mi Zone Seperation'!Z29</f>
        <v>1.8325</v>
      </c>
      <c r="E29" s="479">
        <f>'0.5 Mi Zone Seperation'!AD29</f>
        <v>2.1324999999999998</v>
      </c>
      <c r="F29" s="479"/>
      <c r="G29" s="479">
        <f>'0.5 Mi Zone Seperation'!AK29</f>
        <v>4.0875000000000004</v>
      </c>
      <c r="H29" s="479">
        <f>'0.5 Mi Zone Seperation'!AO29</f>
        <v>2.2549999999999999</v>
      </c>
      <c r="I29" s="480">
        <f t="shared" si="0"/>
        <v>10.307500000000001</v>
      </c>
    </row>
    <row r="30" spans="1:9" x14ac:dyDescent="0.25">
      <c r="A30" s="495" t="s">
        <v>509</v>
      </c>
      <c r="B30" s="479"/>
      <c r="C30" s="479"/>
      <c r="D30" s="479">
        <f>'0.5 Mi Zone Seperation'!Z30</f>
        <v>361.75</v>
      </c>
      <c r="E30" s="479">
        <f>'0.5 Mi Zone Seperation'!AD30</f>
        <v>351.25</v>
      </c>
      <c r="F30" s="479"/>
      <c r="G30" s="479">
        <f>'0.5 Mi Zone Seperation'!AK30</f>
        <v>895.25</v>
      </c>
      <c r="H30" s="479">
        <f>'0.5 Mi Zone Seperation'!AO30</f>
        <v>697.75</v>
      </c>
      <c r="I30" s="481">
        <f t="shared" si="0"/>
        <v>2306</v>
      </c>
    </row>
    <row r="31" spans="1:9" x14ac:dyDescent="0.25">
      <c r="A31" s="494" t="s">
        <v>26</v>
      </c>
      <c r="B31" s="479"/>
      <c r="C31" s="479"/>
      <c r="D31" s="479">
        <f>'0.5 Mi Zone Seperation'!Z31</f>
        <v>2.6808333333333332</v>
      </c>
      <c r="E31" s="479">
        <f>'0.5 Mi Zone Seperation'!AD31</f>
        <v>3.0724999999999998</v>
      </c>
      <c r="F31" s="479"/>
      <c r="G31" s="479">
        <f>'0.5 Mi Zone Seperation'!AK31</f>
        <v>5.5225</v>
      </c>
      <c r="H31" s="479">
        <f>'0.5 Mi Zone Seperation'!AO31</f>
        <v>3.2374999999999998</v>
      </c>
      <c r="I31" s="480">
        <f t="shared" si="0"/>
        <v>14.513333333333332</v>
      </c>
    </row>
    <row r="32" spans="1:9" x14ac:dyDescent="0.25">
      <c r="A32" s="494" t="s">
        <v>23</v>
      </c>
      <c r="B32" s="479"/>
      <c r="C32" s="479"/>
      <c r="D32" s="479">
        <f>'0.5 Mi Zone Seperation'!Z32</f>
        <v>1809.9166666666665</v>
      </c>
      <c r="E32" s="479">
        <f>'0.5 Mi Zone Seperation'!AD32</f>
        <v>1702.75</v>
      </c>
      <c r="F32" s="479"/>
      <c r="G32" s="479">
        <f>'0.5 Mi Zone Seperation'!AK32</f>
        <v>2491.25</v>
      </c>
      <c r="H32" s="479">
        <f>'0.5 Mi Zone Seperation'!AO32</f>
        <v>2023.25</v>
      </c>
      <c r="I32" s="480">
        <f t="shared" si="0"/>
        <v>8027.1666666666661</v>
      </c>
    </row>
    <row r="33" spans="1:10" x14ac:dyDescent="0.25">
      <c r="A33" s="494" t="s">
        <v>27</v>
      </c>
      <c r="B33" s="479"/>
      <c r="C33" s="479"/>
      <c r="D33" s="479">
        <f>'0.5 Mi Zone Seperation'!Z33</f>
        <v>1605.3333333333333</v>
      </c>
      <c r="E33" s="479">
        <f>'0.5 Mi Zone Seperation'!AD33</f>
        <v>1511.8333333333333</v>
      </c>
      <c r="F33" s="479"/>
      <c r="G33" s="479">
        <f>'0.5 Mi Zone Seperation'!AK33</f>
        <v>2161.5</v>
      </c>
      <c r="H33" s="479">
        <f>'0.5 Mi Zone Seperation'!AO33</f>
        <v>1674.0833333333333</v>
      </c>
      <c r="I33" s="480">
        <f t="shared" si="0"/>
        <v>6952.7499999999991</v>
      </c>
      <c r="J33" s="476"/>
    </row>
    <row r="34" spans="1:10" x14ac:dyDescent="0.25">
      <c r="A34" s="494" t="s">
        <v>28</v>
      </c>
      <c r="B34" s="479"/>
      <c r="C34" s="479"/>
      <c r="D34" s="479">
        <f>'0.5 Mi Zone Seperation'!Z34</f>
        <v>204.58333333333331</v>
      </c>
      <c r="E34" s="479">
        <f>'0.5 Mi Zone Seperation'!AD34</f>
        <v>190.91666666666666</v>
      </c>
      <c r="F34" s="479"/>
      <c r="G34" s="479">
        <f>'0.5 Mi Zone Seperation'!AK34</f>
        <v>329.75</v>
      </c>
      <c r="H34" s="479">
        <f>'0.5 Mi Zone Seperation'!AO34</f>
        <v>349.16666666666663</v>
      </c>
      <c r="I34" s="480">
        <f t="shared" si="0"/>
        <v>1074.4166666666665</v>
      </c>
    </row>
    <row r="35" spans="1:10" x14ac:dyDescent="0.25">
      <c r="A35" s="496" t="s">
        <v>670</v>
      </c>
      <c r="B35" s="483"/>
      <c r="C35" s="483"/>
      <c r="D35" s="483">
        <f>'0.5 Mi Zone Seperation'!Z35</f>
        <v>161332.32193010728</v>
      </c>
      <c r="E35" s="483">
        <f>'0.5 Mi Zone Seperation'!AD35</f>
        <v>181821.47995889004</v>
      </c>
      <c r="F35" s="483"/>
      <c r="G35" s="483">
        <f>'0.5 Mi Zone Seperation'!AK35</f>
        <v>88393.226292022082</v>
      </c>
      <c r="H35" s="483">
        <f>'0.5 Mi Zone Seperation'!AO35</f>
        <v>102405.51093537625</v>
      </c>
      <c r="I35" s="484">
        <f>ROUND(((B35*$B$32)+(C35*$C$32)+(D35*$D$32)+(E35*$E$32)+(F35*$F$32)+(G35*$G$32)+(H35*$H$32))/$I$32,3)</f>
        <v>128189.211</v>
      </c>
      <c r="J35" s="485"/>
    </row>
    <row r="36" spans="1:10" x14ac:dyDescent="0.25">
      <c r="A36" s="497" t="s">
        <v>46</v>
      </c>
      <c r="B36" s="479"/>
      <c r="C36" s="479"/>
      <c r="D36" s="479">
        <f>'0.5 Mi Zone Seperation'!Z36</f>
        <v>1761</v>
      </c>
      <c r="E36" s="479">
        <f>'0.5 Mi Zone Seperation'!AD36</f>
        <v>1691.3333333333333</v>
      </c>
      <c r="F36" s="479"/>
      <c r="G36" s="479">
        <f>'0.5 Mi Zone Seperation'!AK36</f>
        <v>2193.5</v>
      </c>
      <c r="H36" s="479">
        <f>'0.5 Mi Zone Seperation'!AO36</f>
        <v>1715.8333333333333</v>
      </c>
      <c r="I36" s="480">
        <f t="shared" si="0"/>
        <v>7361.6666666666661</v>
      </c>
    </row>
    <row r="37" spans="1:10" ht="15" customHeight="1" x14ac:dyDescent="0.25">
      <c r="A37" s="497" t="s">
        <v>424</v>
      </c>
      <c r="B37" s="486"/>
      <c r="C37" s="486"/>
      <c r="D37" s="486"/>
      <c r="E37" s="486"/>
      <c r="F37" s="486"/>
      <c r="G37" s="486"/>
      <c r="H37" s="486"/>
      <c r="I37" s="480"/>
    </row>
    <row r="38" spans="1:10" ht="15" customHeight="1" x14ac:dyDescent="0.25">
      <c r="A38" s="497" t="s">
        <v>425</v>
      </c>
      <c r="B38" s="487"/>
      <c r="C38" s="487"/>
      <c r="D38" s="487">
        <f>'0.5 Mi Zone Seperation'!Z38</f>
        <v>0.6914821124361159</v>
      </c>
      <c r="E38" s="487">
        <f>'0.5 Mi Zone Seperation'!AD38</f>
        <v>0.70753054789121017</v>
      </c>
      <c r="F38" s="487"/>
      <c r="G38" s="487">
        <f>'0.5 Mi Zone Seperation'!AK38</f>
        <v>0.8515536813312059</v>
      </c>
      <c r="H38" s="487">
        <f>'0.5 Mi Zone Seperation'!AO38</f>
        <v>0.80407867897037399</v>
      </c>
      <c r="I38" s="488">
        <f>ROUND(((B38*$B$36)+(C38*$C$36)+(D38*$D$36)+(E38*$E$36)+(F38*$F$36)+(G38*$G$36)+(H38*$H$36))/$I$36,3)</f>
        <v>0.76900000000000002</v>
      </c>
    </row>
    <row r="39" spans="1:10" x14ac:dyDescent="0.25">
      <c r="A39" s="497" t="s">
        <v>33</v>
      </c>
      <c r="B39" s="487"/>
      <c r="C39" s="487"/>
      <c r="D39" s="487">
        <f>'0.5 Mi Zone Seperation'!Z39</f>
        <v>0.60416619345069089</v>
      </c>
      <c r="E39" s="487">
        <f>'0.5 Mi Zone Seperation'!AD39</f>
        <v>0.61117382735514392</v>
      </c>
      <c r="F39" s="487"/>
      <c r="G39" s="487">
        <f>'0.5 Mi Zone Seperation'!AK39</f>
        <v>0.77049099612491456</v>
      </c>
      <c r="H39" s="487">
        <f>'0.5 Mi Zone Seperation'!AO39</f>
        <v>0.69180475959203491</v>
      </c>
      <c r="I39" s="488">
        <f t="shared" ref="I39:I60" si="1">ROUND(((B39*$B$36)+(C39*$C$36)+(D39*$D$36)+(E39*$E$36)+(F39*$F$36)+(G39*$G$36)+(H39*$H$36))/$I$36,3)</f>
        <v>0.67600000000000005</v>
      </c>
    </row>
    <row r="40" spans="1:10" x14ac:dyDescent="0.25">
      <c r="A40" s="497" t="s">
        <v>426</v>
      </c>
      <c r="B40" s="487"/>
      <c r="C40" s="487"/>
      <c r="D40" s="487">
        <f>'0.5 Mi Zone Seperation'!Z40</f>
        <v>8.6976907060382344E-2</v>
      </c>
      <c r="E40" s="487">
        <f>'0.5 Mi Zone Seperation'!AD40</f>
        <v>9.6003744580212852E-2</v>
      </c>
      <c r="F40" s="487"/>
      <c r="G40" s="487">
        <f>'0.5 Mi Zone Seperation'!AK40</f>
        <v>8.0790517437884665E-2</v>
      </c>
      <c r="H40" s="487">
        <f>'0.5 Mi Zone Seperation'!AO40</f>
        <v>0.112273919378339</v>
      </c>
      <c r="I40" s="488">
        <f t="shared" si="1"/>
        <v>9.2999999999999999E-2</v>
      </c>
    </row>
    <row r="41" spans="1:10" x14ac:dyDescent="0.25">
      <c r="A41" s="497" t="s">
        <v>35</v>
      </c>
      <c r="B41" s="487"/>
      <c r="C41" s="487"/>
      <c r="D41" s="487">
        <f>'0.5 Mi Zone Seperation'!Z41</f>
        <v>7.3567859170925606E-2</v>
      </c>
      <c r="E41" s="487">
        <f>'0.5 Mi Zone Seperation'!AD41</f>
        <v>7.9939889633425298E-2</v>
      </c>
      <c r="F41" s="487"/>
      <c r="G41" s="487">
        <f>'0.5 Mi Zone Seperation'!AK41</f>
        <v>7.1378390699794847E-2</v>
      </c>
      <c r="H41" s="487">
        <f>'0.5 Mi Zone Seperation'!AO41</f>
        <v>0.10218445847498785</v>
      </c>
      <c r="I41" s="488">
        <f t="shared" si="1"/>
        <v>8.1000000000000003E-2</v>
      </c>
    </row>
    <row r="42" spans="1:10" x14ac:dyDescent="0.25">
      <c r="A42" s="497" t="s">
        <v>36</v>
      </c>
      <c r="B42" s="487"/>
      <c r="C42" s="487"/>
      <c r="D42" s="487">
        <f>'0.5 Mi Zone Seperation'!Z42</f>
        <v>1.3409047889456746E-2</v>
      </c>
      <c r="E42" s="487">
        <f>'0.5 Mi Zone Seperation'!AD42</f>
        <v>1.3961371698856917E-2</v>
      </c>
      <c r="F42" s="487"/>
      <c r="G42" s="487">
        <f>'0.5 Mi Zone Seperation'!AK42</f>
        <v>4.0825165260998404E-3</v>
      </c>
      <c r="H42" s="487">
        <f>'0.5 Mi Zone Seperation'!AO42</f>
        <v>8.5429820301117041E-3</v>
      </c>
      <c r="I42" s="488">
        <f t="shared" si="1"/>
        <v>0.01</v>
      </c>
    </row>
    <row r="43" spans="1:10" x14ac:dyDescent="0.25">
      <c r="A43" s="497" t="s">
        <v>427</v>
      </c>
      <c r="B43" s="487"/>
      <c r="C43" s="487"/>
      <c r="D43" s="487">
        <f>'0.5 Mi Zone Seperation'!Z43</f>
        <v>0</v>
      </c>
      <c r="E43" s="487">
        <f>'0.5 Mi Zone Seperation'!AD43</f>
        <v>2.4028379976350021E-3</v>
      </c>
      <c r="F43" s="487"/>
      <c r="G43" s="487">
        <f>'0.5 Mi Zone Seperation'!AK43</f>
        <v>5.3296102119899701E-3</v>
      </c>
      <c r="H43" s="487">
        <f>'0.5 Mi Zone Seperation'!AO43</f>
        <v>1.6945118989800875E-3</v>
      </c>
      <c r="I43" s="488">
        <f t="shared" si="1"/>
        <v>3.0000000000000001E-3</v>
      </c>
    </row>
    <row r="44" spans="1:10" x14ac:dyDescent="0.25">
      <c r="A44" s="497" t="s">
        <v>428</v>
      </c>
      <c r="B44" s="489"/>
      <c r="C44" s="489"/>
      <c r="D44" s="489">
        <f>'0.5 Mi Zone Seperation'!Z44</f>
        <v>1.0699280711716828</v>
      </c>
      <c r="E44" s="489">
        <f>'0.5 Mi Zone Seperation'!AD44</f>
        <v>1.076344107213244</v>
      </c>
      <c r="F44" s="489"/>
      <c r="G44" s="489">
        <f>'0.5 Mi Zone Seperation'!AK44</f>
        <v>1.0546956918167314</v>
      </c>
      <c r="H44" s="489">
        <f>'0.5 Mi Zone Seperation'!AO44</f>
        <v>1.0817319086935406</v>
      </c>
      <c r="I44" s="490">
        <f t="shared" si="1"/>
        <v>1.07</v>
      </c>
    </row>
    <row r="45" spans="1:10" x14ac:dyDescent="0.25">
      <c r="A45" s="497" t="s">
        <v>429</v>
      </c>
      <c r="B45" s="487"/>
      <c r="C45" s="487"/>
      <c r="D45" s="487">
        <f>'0.5 Mi Zone Seperation'!Z45</f>
        <v>4.3285254590194958E-2</v>
      </c>
      <c r="E45" s="487">
        <f>'0.5 Mi Zone Seperation'!AD45</f>
        <v>5.2118841150965704E-2</v>
      </c>
      <c r="F45" s="487"/>
      <c r="G45" s="487">
        <f>'0.5 Mi Zone Seperation'!AK45</f>
        <v>3.5076589924777753E-2</v>
      </c>
      <c r="H45" s="487">
        <f>'0.5 Mi Zone Seperation'!AO45</f>
        <v>4.5706556580864505E-2</v>
      </c>
      <c r="I45" s="488">
        <f t="shared" si="1"/>
        <v>4.2999999999999997E-2</v>
      </c>
    </row>
    <row r="46" spans="1:10" ht="15" customHeight="1" x14ac:dyDescent="0.25">
      <c r="A46" s="497" t="s">
        <v>41</v>
      </c>
      <c r="B46" s="487"/>
      <c r="C46" s="487"/>
      <c r="D46" s="487">
        <f>'0.5 Mi Zone Seperation'!Z46</f>
        <v>0.17477304561802007</v>
      </c>
      <c r="E46" s="487">
        <f>'0.5 Mi Zone Seperation'!AD46</f>
        <v>0.13926527394560503</v>
      </c>
      <c r="F46" s="487"/>
      <c r="G46" s="487">
        <f>'0.5 Mi Zone Seperation'!AK46</f>
        <v>6.9428994757237281E-2</v>
      </c>
      <c r="H46" s="487">
        <f>'0.5 Mi Zone Seperation'!AO46</f>
        <v>7.6554346770276824E-2</v>
      </c>
      <c r="I46" s="488">
        <f t="shared" si="1"/>
        <v>0.112</v>
      </c>
    </row>
    <row r="47" spans="1:10" x14ac:dyDescent="0.25">
      <c r="A47" s="497" t="s">
        <v>40</v>
      </c>
      <c r="B47" s="487"/>
      <c r="C47" s="487"/>
      <c r="D47" s="487">
        <f>'0.5 Mi Zone Seperation'!Z47</f>
        <v>4.7006435737270487E-2</v>
      </c>
      <c r="E47" s="487">
        <f>'0.5 Mi Zone Seperation'!AD47</f>
        <v>5.5922940480882928E-2</v>
      </c>
      <c r="F47" s="487"/>
      <c r="G47" s="487">
        <f>'0.5 Mi Zone Seperation'!AK47</f>
        <v>1.4370184636425802E-2</v>
      </c>
      <c r="H47" s="487">
        <f>'0.5 Mi Zone Seperation'!AO47</f>
        <v>3.236639145216124E-2</v>
      </c>
      <c r="I47" s="488">
        <f t="shared" si="1"/>
        <v>3.5999999999999997E-2</v>
      </c>
    </row>
    <row r="48" spans="1:10" x14ac:dyDescent="0.25">
      <c r="A48" s="497" t="s">
        <v>430</v>
      </c>
      <c r="B48" s="487"/>
      <c r="C48" s="487"/>
      <c r="D48" s="487">
        <f>'0.5 Mi Zone Seperation'!Z48</f>
        <v>1.065455233768692E-2</v>
      </c>
      <c r="E48" s="487">
        <f>'0.5 Mi Zone Seperation'!AD48</f>
        <v>1.4096964919195902E-2</v>
      </c>
      <c r="F48" s="487"/>
      <c r="G48" s="487">
        <f>'0.5 Mi Zone Seperation'!AK48</f>
        <v>8.0061545475267823E-3</v>
      </c>
      <c r="H48" s="487">
        <f>'0.5 Mi Zone Seperation'!AO48</f>
        <v>1.802807187955318E-2</v>
      </c>
      <c r="I48" s="488">
        <f t="shared" si="1"/>
        <v>1.2E-2</v>
      </c>
    </row>
    <row r="49" spans="1:9" x14ac:dyDescent="0.25">
      <c r="A49" s="497" t="s">
        <v>42</v>
      </c>
      <c r="B49" s="487"/>
      <c r="C49" s="487"/>
      <c r="D49" s="487">
        <f>'0.5 Mi Zone Seperation'!Z49</f>
        <v>3.31376112057543E-2</v>
      </c>
      <c r="E49" s="487">
        <f>'0.5 Mi Zone Seperation'!AD49</f>
        <v>3.1418407567993689E-2</v>
      </c>
      <c r="F49" s="487"/>
      <c r="G49" s="487">
        <f>'0.5 Mi Zone Seperation'!AK49</f>
        <v>2.183656257123319E-2</v>
      </c>
      <c r="H49" s="487">
        <f>'0.5 Mi Zone Seperation'!AO49</f>
        <v>2.3265954346770278E-2</v>
      </c>
      <c r="I49" s="488">
        <f t="shared" si="1"/>
        <v>2.7E-2</v>
      </c>
    </row>
    <row r="50" spans="1:9" x14ac:dyDescent="0.25">
      <c r="A50" s="497" t="s">
        <v>87</v>
      </c>
      <c r="B50" s="487"/>
      <c r="C50" s="487"/>
      <c r="D50" s="487"/>
      <c r="E50" s="487"/>
      <c r="F50" s="487"/>
      <c r="G50" s="487"/>
      <c r="H50" s="487"/>
      <c r="I50" s="488"/>
    </row>
    <row r="51" spans="1:9" x14ac:dyDescent="0.25">
      <c r="A51" s="497" t="s">
        <v>431</v>
      </c>
      <c r="B51" s="487"/>
      <c r="C51" s="487"/>
      <c r="D51" s="487">
        <f>'0.5 Mi Zone Seperation'!Z51</f>
        <v>0.24312284686731023</v>
      </c>
      <c r="E51" s="487">
        <f>'0.5 Mi Zone Seperation'!AD51</f>
        <v>0.25788470634607802</v>
      </c>
      <c r="F51" s="487"/>
      <c r="G51" s="487">
        <f>'0.5 Mi Zone Seperation'!AK51</f>
        <v>0.23636836106678827</v>
      </c>
      <c r="H51" s="487">
        <f>'0.5 Mi Zone Seperation'!AO51</f>
        <v>0.22266847984458477</v>
      </c>
      <c r="I51" s="488">
        <f t="shared" si="1"/>
        <v>0.24</v>
      </c>
    </row>
    <row r="52" spans="1:9" x14ac:dyDescent="0.25">
      <c r="A52" s="497" t="s">
        <v>432</v>
      </c>
      <c r="B52" s="487"/>
      <c r="C52" s="487"/>
      <c r="D52" s="487">
        <f>'0.5 Mi Zone Seperation'!Z52</f>
        <v>0.26939655498769632</v>
      </c>
      <c r="E52" s="487">
        <f>'0.5 Mi Zone Seperation'!AD52</f>
        <v>0.24229345683878598</v>
      </c>
      <c r="F52" s="487"/>
      <c r="G52" s="487">
        <f>'0.5 Mi Zone Seperation'!AK52</f>
        <v>0.2058139958969683</v>
      </c>
      <c r="H52" s="487">
        <f>'0.5 Mi Zone Seperation'!AO52</f>
        <v>0.20329422049538609</v>
      </c>
      <c r="I52" s="488">
        <f t="shared" si="1"/>
        <v>0.22900000000000001</v>
      </c>
    </row>
    <row r="53" spans="1:9" x14ac:dyDescent="0.25">
      <c r="A53" s="497" t="s">
        <v>433</v>
      </c>
      <c r="B53" s="487"/>
      <c r="C53" s="487"/>
      <c r="D53" s="487">
        <f>'0.5 Mi Zone Seperation'!Z53</f>
        <v>0.25017508991103538</v>
      </c>
      <c r="E53" s="487">
        <f>'0.5 Mi Zone Seperation'!AD53</f>
        <v>0.21048581001182501</v>
      </c>
      <c r="F53" s="487"/>
      <c r="G53" s="487">
        <f>'0.5 Mi Zone Seperation'!AK53</f>
        <v>0.20026441759744701</v>
      </c>
      <c r="H53" s="487">
        <f>'0.5 Mi Zone Seperation'!AO53</f>
        <v>0.21728664400194272</v>
      </c>
      <c r="I53" s="488">
        <f t="shared" si="1"/>
        <v>0.219</v>
      </c>
    </row>
    <row r="54" spans="1:9" x14ac:dyDescent="0.25">
      <c r="A54" s="497" t="s">
        <v>434</v>
      </c>
      <c r="B54" s="487"/>
      <c r="C54" s="487"/>
      <c r="D54" s="487">
        <f>'0.5 Mi Zone Seperation'!Z54</f>
        <v>7.1876774559909137E-2</v>
      </c>
      <c r="E54" s="487">
        <f>'0.5 Mi Zone Seperation'!AD54</f>
        <v>0.10150551832873472</v>
      </c>
      <c r="F54" s="487"/>
      <c r="G54" s="487">
        <f>'0.5 Mi Zone Seperation'!AK54</f>
        <v>0.1387526783679052</v>
      </c>
      <c r="H54" s="487">
        <f>'0.5 Mi Zone Seperation'!AO54</f>
        <v>0.13568897523069454</v>
      </c>
      <c r="I54" s="488">
        <f t="shared" si="1"/>
        <v>0.113</v>
      </c>
    </row>
    <row r="55" spans="1:9" x14ac:dyDescent="0.25">
      <c r="A55" s="497" t="s">
        <v>435</v>
      </c>
      <c r="B55" s="487"/>
      <c r="C55" s="487"/>
      <c r="D55" s="487">
        <f>'0.5 Mi Zone Seperation'!Z55</f>
        <v>2.5116978989210673E-2</v>
      </c>
      <c r="E55" s="487">
        <f>'0.5 Mi Zone Seperation'!AD55</f>
        <v>2.8796413086322428E-2</v>
      </c>
      <c r="F55" s="487"/>
      <c r="G55" s="487">
        <f>'0.5 Mi Zone Seperation'!AK55</f>
        <v>6.0126282197401411E-2</v>
      </c>
      <c r="H55" s="487">
        <f>'0.5 Mi Zone Seperation'!AO55</f>
        <v>6.4580475959203493E-2</v>
      </c>
      <c r="I55" s="488">
        <f t="shared" si="1"/>
        <v>4.5999999999999999E-2</v>
      </c>
    </row>
    <row r="56" spans="1:9" x14ac:dyDescent="0.25">
      <c r="A56" s="497" t="s">
        <v>436</v>
      </c>
      <c r="B56" s="487"/>
      <c r="C56" s="487"/>
      <c r="D56" s="487">
        <f>'0.5 Mi Zone Seperation'!Z56</f>
        <v>6.4091803899299638E-2</v>
      </c>
      <c r="E56" s="487">
        <f>'0.5 Mi Zone Seperation'!AD56</f>
        <v>7.453586913677572E-2</v>
      </c>
      <c r="F56" s="487"/>
      <c r="G56" s="487">
        <f>'0.5 Mi Zone Seperation'!AK56</f>
        <v>0.11483838614087076</v>
      </c>
      <c r="H56" s="487">
        <f>'0.5 Mi Zone Seperation'!AO56</f>
        <v>8.7255560951918415E-2</v>
      </c>
      <c r="I56" s="488">
        <f t="shared" si="1"/>
        <v>8.6999999999999994E-2</v>
      </c>
    </row>
    <row r="57" spans="1:9" x14ac:dyDescent="0.25">
      <c r="A57" s="497" t="s">
        <v>437</v>
      </c>
      <c r="B57" s="487"/>
      <c r="C57" s="487"/>
      <c r="D57" s="487">
        <f>'0.5 Mi Zone Seperation'!Z57</f>
        <v>2.2342040507287525E-2</v>
      </c>
      <c r="E57" s="487">
        <f>'0.5 Mi Zone Seperation'!AD57</f>
        <v>2.0583169097359088E-2</v>
      </c>
      <c r="F57" s="487"/>
      <c r="G57" s="487">
        <f>'0.5 Mi Zone Seperation'!AK57</f>
        <v>1.1881695919762937E-2</v>
      </c>
      <c r="H57" s="487">
        <f>'0.5 Mi Zone Seperation'!AO57</f>
        <v>1.5889363768819813E-2</v>
      </c>
      <c r="I57" s="488">
        <f t="shared" si="1"/>
        <v>1.7000000000000001E-2</v>
      </c>
    </row>
    <row r="58" spans="1:9" x14ac:dyDescent="0.25">
      <c r="A58" s="497" t="s">
        <v>438</v>
      </c>
      <c r="B58" s="487"/>
      <c r="C58" s="487"/>
      <c r="D58" s="487">
        <f>'0.5 Mi Zone Seperation'!Z58</f>
        <v>1.5878478137421916E-2</v>
      </c>
      <c r="E58" s="487">
        <f>'0.5 Mi Zone Seperation'!AD58</f>
        <v>1.596787544343713E-2</v>
      </c>
      <c r="F58" s="487"/>
      <c r="G58" s="487">
        <f>'0.5 Mi Zone Seperation'!AK58</f>
        <v>1.5824481422384316E-2</v>
      </c>
      <c r="H58" s="487">
        <f>'0.5 Mi Zone Seperation'!AO58</f>
        <v>1.7585624089363771E-2</v>
      </c>
      <c r="I58" s="488">
        <f t="shared" si="1"/>
        <v>1.6E-2</v>
      </c>
    </row>
    <row r="59" spans="1:9" x14ac:dyDescent="0.25">
      <c r="A59" s="497" t="s">
        <v>439</v>
      </c>
      <c r="B59" s="487"/>
      <c r="C59" s="487"/>
      <c r="D59" s="487">
        <f>'0.5 Mi Zone Seperation'!Z59</f>
        <v>3.8332386901381792E-2</v>
      </c>
      <c r="E59" s="487">
        <f>'0.5 Mi Zone Seperation'!AD59</f>
        <v>4.8293851005124164E-2</v>
      </c>
      <c r="F59" s="487"/>
      <c r="G59" s="487">
        <f>'0.5 Mi Zone Seperation'!AK59</f>
        <v>1.6528835194894006E-2</v>
      </c>
      <c r="H59" s="487">
        <f>'0.5 Mi Zone Seperation'!AO59</f>
        <v>3.6602622632345802E-2</v>
      </c>
      <c r="I59" s="488">
        <f t="shared" si="1"/>
        <v>3.4000000000000002E-2</v>
      </c>
    </row>
    <row r="60" spans="1:9" x14ac:dyDescent="0.25">
      <c r="A60" s="497" t="s">
        <v>88</v>
      </c>
      <c r="B60" s="489"/>
      <c r="C60" s="489"/>
      <c r="D60" s="489">
        <f>'0.5 Mi Zone Seperation'!Z60</f>
        <v>16.249858035207268</v>
      </c>
      <c r="E60" s="489">
        <f>'0.5 Mi Zone Seperation'!AD60</f>
        <v>16.994560504532913</v>
      </c>
      <c r="F60" s="489"/>
      <c r="G60" s="489">
        <f>'0.5 Mi Zone Seperation'!AK60</f>
        <v>16.584112149532711</v>
      </c>
      <c r="H60" s="489">
        <f>'0.5 Mi Zone Seperation'!AO60</f>
        <v>17.539184069936862</v>
      </c>
      <c r="I60" s="490">
        <f t="shared" si="1"/>
        <v>16.821000000000002</v>
      </c>
    </row>
    <row r="61" spans="1:9" x14ac:dyDescent="0.25">
      <c r="A61" s="497" t="s">
        <v>89</v>
      </c>
      <c r="B61" s="486"/>
      <c r="C61" s="486"/>
      <c r="D61" s="486"/>
      <c r="E61" s="486"/>
      <c r="F61" s="486"/>
      <c r="G61" s="486"/>
      <c r="H61" s="486"/>
      <c r="I61" s="481"/>
    </row>
    <row r="62" spans="1:9" x14ac:dyDescent="0.25">
      <c r="A62" s="497" t="s">
        <v>440</v>
      </c>
      <c r="B62" s="479"/>
      <c r="C62" s="479"/>
      <c r="D62" s="479">
        <f>'0.5 Mi Zone Seperation'!Z62</f>
        <v>1614.4166666666665</v>
      </c>
      <c r="E62" s="479">
        <f>'0.5 Mi Zone Seperation'!AD62</f>
        <v>1515.9166666666665</v>
      </c>
      <c r="F62" s="479"/>
      <c r="G62" s="479">
        <f>'0.5 Mi Zone Seperation'!AK62</f>
        <v>2177.25</v>
      </c>
      <c r="H62" s="479">
        <f>'0.5 Mi Zone Seperation'!AO62</f>
        <v>1574.4166666666665</v>
      </c>
      <c r="I62" s="480">
        <f>SUM(B62:H62)</f>
        <v>6882</v>
      </c>
    </row>
    <row r="63" spans="1:9" x14ac:dyDescent="0.25">
      <c r="A63" s="497" t="s">
        <v>441</v>
      </c>
      <c r="B63" s="487"/>
      <c r="C63" s="487"/>
      <c r="D63" s="487">
        <f>'0.5 Mi Zone Seperation'!Z63</f>
        <v>0.12797119702678986</v>
      </c>
      <c r="E63" s="487">
        <f>'0.5 Mi Zone Seperation'!AD63</f>
        <v>0.10003375295475786</v>
      </c>
      <c r="F63" s="487"/>
      <c r="G63" s="487">
        <f>'0.5 Mi Zone Seperation'!AK63</f>
        <v>6.4039269720978301E-2</v>
      </c>
      <c r="H63" s="487">
        <f>'0.5 Mi Zone Seperation'!AO63</f>
        <v>8.7549145186047742E-2</v>
      </c>
      <c r="I63" s="488">
        <f>ROUND(((B63*$B$62)+(C63*$C$62)+(D63*$D$62)+(E63*$E$62)+(F63*$F$62)+(G63*$G$62)+(H63*$H$62))/$I$62,3)</f>
        <v>9.1999999999999998E-2</v>
      </c>
    </row>
    <row r="64" spans="1:9" ht="15" customHeight="1" x14ac:dyDescent="0.25">
      <c r="A64" s="497" t="s">
        <v>442</v>
      </c>
      <c r="B64" s="487"/>
      <c r="C64" s="487"/>
      <c r="D64" s="487">
        <f>'0.5 Mi Zone Seperation'!Z64</f>
        <v>0.3463329375935581</v>
      </c>
      <c r="E64" s="487">
        <f>'0.5 Mi Zone Seperation'!AD64</f>
        <v>0.31158418998405807</v>
      </c>
      <c r="F64" s="487"/>
      <c r="G64" s="487">
        <f>'0.5 Mi Zone Seperation'!AK64</f>
        <v>0.3874789298426915</v>
      </c>
      <c r="H64" s="487">
        <f>'0.5 Mi Zone Seperation'!AO64</f>
        <v>0.41330905626422493</v>
      </c>
      <c r="I64" s="488">
        <f t="shared" ref="I64:I66" si="2">ROUND(((B64*$B$62)+(C64*$C$62)+(D64*$D$62)+(E64*$E$62)+(F64*$F$62)+(G64*$G$62)+(H64*$H$62))/$I$62,3)</f>
        <v>0.36699999999999999</v>
      </c>
    </row>
    <row r="65" spans="1:9" x14ac:dyDescent="0.25">
      <c r="A65" s="497" t="s">
        <v>443</v>
      </c>
      <c r="B65" s="487"/>
      <c r="C65" s="487"/>
      <c r="D65" s="487">
        <f>'0.5 Mi Zone Seperation'!Z65</f>
        <v>0.26112445155628972</v>
      </c>
      <c r="E65" s="487">
        <f>'0.5 Mi Zone Seperation'!AD65</f>
        <v>0.2869096806112913</v>
      </c>
      <c r="F65" s="487"/>
      <c r="G65" s="487">
        <f>'0.5 Mi Zone Seperation'!AK65</f>
        <v>0.3503419451142496</v>
      </c>
      <c r="H65" s="487">
        <f>'0.5 Mi Zone Seperation'!AO65</f>
        <v>0.32377541946752764</v>
      </c>
      <c r="I65" s="488">
        <f t="shared" si="2"/>
        <v>0.309</v>
      </c>
    </row>
    <row r="66" spans="1:9" ht="15.75" thickBot="1" x14ac:dyDescent="0.3">
      <c r="A66" s="498" t="s">
        <v>444</v>
      </c>
      <c r="B66" s="492"/>
      <c r="C66" s="492"/>
      <c r="D66" s="492">
        <f>'0.5 Mi Zone Seperation'!Z66</f>
        <v>0.26457141382336241</v>
      </c>
      <c r="E66" s="492">
        <f>'0.5 Mi Zone Seperation'!AD66</f>
        <v>0.30147237644989283</v>
      </c>
      <c r="F66" s="492"/>
      <c r="G66" s="492">
        <f>'0.5 Mi Zone Seperation'!AK66</f>
        <v>0.19854196807899874</v>
      </c>
      <c r="H66" s="492">
        <f>'0.5 Mi Zone Seperation'!AO66</f>
        <v>0.17592245805324722</v>
      </c>
      <c r="I66" s="493">
        <f t="shared" si="2"/>
        <v>0.23200000000000001</v>
      </c>
    </row>
    <row r="68" spans="1:9" x14ac:dyDescent="0.25">
      <c r="I68" s="450">
        <f>I63*I62</f>
        <v>633.14400000000001</v>
      </c>
    </row>
  </sheetData>
  <sheetProtection password="891C" sheet="1" objects="1" scenarios="1"/>
  <mergeCells count="1">
    <mergeCell ref="A1:I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16" zoomScale="80" zoomScaleNormal="80" workbookViewId="0">
      <selection activeCell="H52" sqref="H52"/>
    </sheetView>
  </sheetViews>
  <sheetFormatPr defaultRowHeight="15" x14ac:dyDescent="0.25"/>
  <cols>
    <col min="1" max="1" width="35.140625" style="499" customWidth="1"/>
    <col min="2" max="9" width="14.7109375" style="450" customWidth="1"/>
    <col min="10" max="10" width="15.85546875" style="450" bestFit="1" customWidth="1"/>
    <col min="11" max="16384" width="9.140625" style="450"/>
  </cols>
  <sheetData>
    <row r="1" spans="1:11" x14ac:dyDescent="0.25">
      <c r="A1" s="638" t="s">
        <v>446</v>
      </c>
      <c r="B1" s="639"/>
      <c r="C1" s="639"/>
      <c r="D1" s="639"/>
      <c r="E1" s="639"/>
      <c r="F1" s="639"/>
      <c r="G1" s="639"/>
      <c r="H1" s="639"/>
      <c r="I1" s="639"/>
    </row>
    <row r="2" spans="1:11" s="451" customFormat="1" x14ac:dyDescent="0.25">
      <c r="A2" s="494"/>
      <c r="B2" s="304" t="s">
        <v>495</v>
      </c>
      <c r="C2" s="304" t="s">
        <v>496</v>
      </c>
      <c r="D2" s="304" t="s">
        <v>497</v>
      </c>
      <c r="E2" s="304" t="s">
        <v>498</v>
      </c>
      <c r="F2" s="304" t="s">
        <v>499</v>
      </c>
      <c r="G2" s="304" t="s">
        <v>500</v>
      </c>
      <c r="H2" s="304" t="s">
        <v>501</v>
      </c>
      <c r="I2" s="478" t="s">
        <v>0</v>
      </c>
    </row>
    <row r="3" spans="1:11" x14ac:dyDescent="0.25">
      <c r="A3" s="494" t="s">
        <v>1</v>
      </c>
      <c r="B3" s="479"/>
      <c r="C3" s="479"/>
      <c r="D3" s="479">
        <f>'1 Mi Zone Seperation'!AV3</f>
        <v>5778.1666666666661</v>
      </c>
      <c r="E3" s="479">
        <f>'1 Mi Zone Seperation'!BB3</f>
        <v>5950.833333333333</v>
      </c>
      <c r="F3" s="479"/>
      <c r="G3" s="479">
        <f>'1 Mi Zone Seperation'!BM3</f>
        <v>13649</v>
      </c>
      <c r="H3" s="479">
        <f>'1 Mi Zone Seperation'!BR3</f>
        <v>4701.833333333333</v>
      </c>
      <c r="I3" s="480">
        <f t="shared" ref="I3:I36" si="0">SUM(B3:H3)</f>
        <v>30079.833333333332</v>
      </c>
    </row>
    <row r="4" spans="1:11" x14ac:dyDescent="0.25">
      <c r="A4" s="494" t="s">
        <v>2</v>
      </c>
      <c r="B4" s="479"/>
      <c r="C4" s="479"/>
      <c r="D4" s="479">
        <f>'1 Mi Zone Seperation'!AV4</f>
        <v>193.99966666666666</v>
      </c>
      <c r="E4" s="479">
        <f>'1 Mi Zone Seperation'!BB4</f>
        <v>301.06433333333331</v>
      </c>
      <c r="F4" s="479"/>
      <c r="G4" s="479">
        <f>'1 Mi Zone Seperation'!BM4</f>
        <v>1074.1585</v>
      </c>
      <c r="H4" s="479">
        <f>'1 Mi Zone Seperation'!BR4</f>
        <v>352.08083333333332</v>
      </c>
      <c r="I4" s="480">
        <f t="shared" si="0"/>
        <v>1921.3033333333333</v>
      </c>
      <c r="K4" s="500"/>
    </row>
    <row r="5" spans="1:11" x14ac:dyDescent="0.25">
      <c r="A5" s="494" t="s">
        <v>3</v>
      </c>
      <c r="B5" s="479"/>
      <c r="C5" s="479"/>
      <c r="D5" s="479">
        <f>'1 Mi Zone Seperation'!AV5</f>
        <v>104.33933333333333</v>
      </c>
      <c r="E5" s="479">
        <f>'1 Mi Zone Seperation'!BB5</f>
        <v>171.57133333333334</v>
      </c>
      <c r="F5" s="479"/>
      <c r="G5" s="479">
        <f>'1 Mi Zone Seperation'!BM5</f>
        <v>765.28499999999997</v>
      </c>
      <c r="H5" s="479">
        <f>'1 Mi Zone Seperation'!BR5</f>
        <v>185.50333333333333</v>
      </c>
      <c r="I5" s="480">
        <f t="shared" si="0"/>
        <v>1226.6989999999998</v>
      </c>
      <c r="K5" s="500"/>
    </row>
    <row r="6" spans="1:11" x14ac:dyDescent="0.25">
      <c r="A6" s="494" t="s">
        <v>4</v>
      </c>
      <c r="B6" s="479"/>
      <c r="C6" s="479"/>
      <c r="D6" s="479">
        <f>'1 Mi Zone Seperation'!AV6</f>
        <v>139.22083333333333</v>
      </c>
      <c r="E6" s="479">
        <f>'1 Mi Zone Seperation'!BB6</f>
        <v>171.20150000000001</v>
      </c>
      <c r="F6" s="479"/>
      <c r="G6" s="479">
        <f>'1 Mi Zone Seperation'!BM6</f>
        <v>769.80600000000004</v>
      </c>
      <c r="H6" s="479">
        <f>'1 Mi Zone Seperation'!BR6</f>
        <v>265.81350000000003</v>
      </c>
      <c r="I6" s="480">
        <f t="shared" si="0"/>
        <v>1346.0418333333334</v>
      </c>
      <c r="K6" s="500"/>
    </row>
    <row r="7" spans="1:11" x14ac:dyDescent="0.25">
      <c r="A7" s="494" t="s">
        <v>5</v>
      </c>
      <c r="B7" s="479"/>
      <c r="C7" s="479"/>
      <c r="D7" s="479">
        <f>'1 Mi Zone Seperation'!AV7</f>
        <v>597.00966666666659</v>
      </c>
      <c r="E7" s="479">
        <f>'1 Mi Zone Seperation'!BB7</f>
        <v>555.82066666666663</v>
      </c>
      <c r="F7" s="479"/>
      <c r="G7" s="479">
        <f>'1 Mi Zone Seperation'!BM7</f>
        <v>819.53750000000002</v>
      </c>
      <c r="H7" s="479">
        <f>'1 Mi Zone Seperation'!BR7</f>
        <v>482.42816666666664</v>
      </c>
      <c r="I7" s="480">
        <f t="shared" si="0"/>
        <v>2454.7959999999998</v>
      </c>
      <c r="K7" s="500"/>
    </row>
    <row r="8" spans="1:11" x14ac:dyDescent="0.25">
      <c r="A8" s="494" t="s">
        <v>6</v>
      </c>
      <c r="B8" s="479"/>
      <c r="C8" s="479"/>
      <c r="D8" s="479">
        <f>'1 Mi Zone Seperation'!AV8</f>
        <v>2248.3471666666665</v>
      </c>
      <c r="E8" s="479">
        <f>'1 Mi Zone Seperation'!BB8</f>
        <v>1794.4204999999999</v>
      </c>
      <c r="F8" s="479"/>
      <c r="G8" s="479">
        <f>'1 Mi Zone Seperation'!BM8</f>
        <v>2262.94</v>
      </c>
      <c r="H8" s="479">
        <f>'1 Mi Zone Seperation'!BR8</f>
        <v>393.70850000000002</v>
      </c>
      <c r="I8" s="480">
        <f t="shared" si="0"/>
        <v>6699.4161666666669</v>
      </c>
      <c r="K8" s="500"/>
    </row>
    <row r="9" spans="1:11" x14ac:dyDescent="0.25">
      <c r="A9" s="494" t="s">
        <v>7</v>
      </c>
      <c r="B9" s="479"/>
      <c r="C9" s="479"/>
      <c r="D9" s="479">
        <f>'1 Mi Zone Seperation'!AV9</f>
        <v>458.36349999999999</v>
      </c>
      <c r="E9" s="479">
        <f>'1 Mi Zone Seperation'!BB9</f>
        <v>480.42449999999997</v>
      </c>
      <c r="F9" s="479"/>
      <c r="G9" s="479">
        <f>'1 Mi Zone Seperation'!BM9</f>
        <v>1315.7864999999999</v>
      </c>
      <c r="H9" s="479">
        <f>'1 Mi Zone Seperation'!BR9</f>
        <v>297.28699999999998</v>
      </c>
      <c r="I9" s="480">
        <f t="shared" si="0"/>
        <v>2551.8614999999995</v>
      </c>
      <c r="K9" s="500"/>
    </row>
    <row r="10" spans="1:11" x14ac:dyDescent="0.25">
      <c r="A10" s="494" t="s">
        <v>8</v>
      </c>
      <c r="B10" s="479"/>
      <c r="C10" s="479"/>
      <c r="D10" s="479">
        <f>'1 Mi Zone Seperation'!AV10</f>
        <v>336.42266666666666</v>
      </c>
      <c r="E10" s="479">
        <f>'1 Mi Zone Seperation'!BB10</f>
        <v>366.23033333333331</v>
      </c>
      <c r="F10" s="479"/>
      <c r="G10" s="479">
        <f>'1 Mi Zone Seperation'!BM10</f>
        <v>1228.8795</v>
      </c>
      <c r="H10" s="479">
        <f>'1 Mi Zone Seperation'!BR10</f>
        <v>449.74883333333332</v>
      </c>
      <c r="I10" s="480">
        <f t="shared" si="0"/>
        <v>2381.2813333333334</v>
      </c>
      <c r="K10" s="500"/>
    </row>
    <row r="11" spans="1:11" x14ac:dyDescent="0.25">
      <c r="A11" s="494" t="s">
        <v>9</v>
      </c>
      <c r="B11" s="479"/>
      <c r="C11" s="479"/>
      <c r="D11" s="479">
        <f>'1 Mi Zone Seperation'!AV11</f>
        <v>240.0035</v>
      </c>
      <c r="E11" s="479">
        <f>'1 Mi Zone Seperation'!BB11</f>
        <v>297.23349999999999</v>
      </c>
      <c r="F11" s="479"/>
      <c r="G11" s="479">
        <f>'1 Mi Zone Seperation'!BM11</f>
        <v>748.36400000000003</v>
      </c>
      <c r="H11" s="479">
        <f>'1 Mi Zone Seperation'!BR11</f>
        <v>287.11849999999998</v>
      </c>
      <c r="I11" s="480">
        <f t="shared" si="0"/>
        <v>1572.7195000000002</v>
      </c>
      <c r="K11" s="500"/>
    </row>
    <row r="12" spans="1:11" x14ac:dyDescent="0.25">
      <c r="A12" s="494" t="s">
        <v>10</v>
      </c>
      <c r="B12" s="479"/>
      <c r="C12" s="479"/>
      <c r="D12" s="479">
        <f>'1 Mi Zone Seperation'!AV12</f>
        <v>195.1343333333333</v>
      </c>
      <c r="E12" s="479">
        <f>'1 Mi Zone Seperation'!BB12</f>
        <v>281.97933333333339</v>
      </c>
      <c r="F12" s="479"/>
      <c r="G12" s="479">
        <f>'1 Mi Zone Seperation'!BM12</f>
        <v>552.80799999999999</v>
      </c>
      <c r="H12" s="479">
        <f>'1 Mi Zone Seperation'!BR12</f>
        <v>314.52933333333334</v>
      </c>
      <c r="I12" s="480">
        <f t="shared" si="0"/>
        <v>1344.451</v>
      </c>
      <c r="K12" s="500"/>
    </row>
    <row r="13" spans="1:11" x14ac:dyDescent="0.25">
      <c r="A13" s="494" t="s">
        <v>11</v>
      </c>
      <c r="B13" s="479"/>
      <c r="C13" s="479"/>
      <c r="D13" s="479">
        <f>'1 Mi Zone Seperation'!AV13</f>
        <v>239.72133333333332</v>
      </c>
      <c r="E13" s="479">
        <f>'1 Mi Zone Seperation'!BB13</f>
        <v>294.13599999999997</v>
      </c>
      <c r="F13" s="479"/>
      <c r="G13" s="479">
        <f>'1 Mi Zone Seperation'!BM13</f>
        <v>736.1</v>
      </c>
      <c r="H13" s="479">
        <f>'1 Mi Zone Seperation'!BR13</f>
        <v>299.86600000000004</v>
      </c>
      <c r="I13" s="480">
        <f t="shared" si="0"/>
        <v>1569.8233333333333</v>
      </c>
      <c r="K13" s="500"/>
    </row>
    <row r="14" spans="1:11" x14ac:dyDescent="0.25">
      <c r="A14" s="494" t="s">
        <v>12</v>
      </c>
      <c r="B14" s="479"/>
      <c r="C14" s="479"/>
      <c r="D14" s="479">
        <f>'1 Mi Zone Seperation'!AV14</f>
        <v>238.82316666666662</v>
      </c>
      <c r="E14" s="479">
        <f>'1 Mi Zone Seperation'!BB14</f>
        <v>218.88449999999997</v>
      </c>
      <c r="F14" s="479"/>
      <c r="G14" s="479">
        <f>'1 Mi Zone Seperation'!BM14</f>
        <v>808.55399999999997</v>
      </c>
      <c r="H14" s="479">
        <f>'1 Mi Zone Seperation'!BR14</f>
        <v>330.22149999999999</v>
      </c>
      <c r="I14" s="480">
        <f t="shared" si="0"/>
        <v>1596.4831666666664</v>
      </c>
      <c r="K14" s="500"/>
    </row>
    <row r="15" spans="1:11" x14ac:dyDescent="0.25">
      <c r="A15" s="494" t="s">
        <v>13</v>
      </c>
      <c r="B15" s="479"/>
      <c r="C15" s="479"/>
      <c r="D15" s="479">
        <f>'1 Mi Zone Seperation'!AV15</f>
        <v>220.50149999999996</v>
      </c>
      <c r="E15" s="479">
        <f>'1 Mi Zone Seperation'!BB15</f>
        <v>209.99349999999998</v>
      </c>
      <c r="F15" s="479"/>
      <c r="G15" s="479">
        <f>'1 Mi Zone Seperation'!BM15</f>
        <v>744.93449999999996</v>
      </c>
      <c r="H15" s="479">
        <f>'1 Mi Zone Seperation'!BR15</f>
        <v>326.88099999999997</v>
      </c>
      <c r="I15" s="480">
        <f t="shared" si="0"/>
        <v>1502.3105</v>
      </c>
    </row>
    <row r="16" spans="1:11" x14ac:dyDescent="0.25">
      <c r="A16" s="494" t="s">
        <v>14</v>
      </c>
      <c r="B16" s="479"/>
      <c r="C16" s="479"/>
      <c r="D16" s="479">
        <f>'1 Mi Zone Seperation'!AV16</f>
        <v>234.70916666666668</v>
      </c>
      <c r="E16" s="479">
        <f>'1 Mi Zone Seperation'!BB16</f>
        <v>269.31783333333334</v>
      </c>
      <c r="F16" s="479"/>
      <c r="G16" s="479">
        <f>'1 Mi Zone Seperation'!BM16</f>
        <v>594.98</v>
      </c>
      <c r="H16" s="479">
        <f>'1 Mi Zone Seperation'!BR16</f>
        <v>237.67083333333335</v>
      </c>
      <c r="I16" s="480">
        <f t="shared" si="0"/>
        <v>1336.6778333333334</v>
      </c>
    </row>
    <row r="17" spans="1:10" x14ac:dyDescent="0.25">
      <c r="A17" s="494" t="s">
        <v>15</v>
      </c>
      <c r="B17" s="479"/>
      <c r="C17" s="479"/>
      <c r="D17" s="479">
        <f>'1 Mi Zone Seperation'!AV17</f>
        <v>114.80133333333332</v>
      </c>
      <c r="E17" s="479">
        <f>'1 Mi Zone Seperation'!BB17</f>
        <v>233.30233333333337</v>
      </c>
      <c r="F17" s="479"/>
      <c r="G17" s="479">
        <f>'1 Mi Zone Seperation'!BM17</f>
        <v>309.6875</v>
      </c>
      <c r="H17" s="479">
        <f>'1 Mi Zone Seperation'!BR17</f>
        <v>188.58183333333335</v>
      </c>
      <c r="I17" s="480">
        <f t="shared" si="0"/>
        <v>846.37300000000005</v>
      </c>
    </row>
    <row r="18" spans="1:10" x14ac:dyDescent="0.25">
      <c r="A18" s="494" t="s">
        <v>16</v>
      </c>
      <c r="B18" s="479"/>
      <c r="C18" s="479"/>
      <c r="D18" s="479">
        <f>'1 Mi Zone Seperation'!AV18</f>
        <v>56.788499999999999</v>
      </c>
      <c r="E18" s="479">
        <f>'1 Mi Zone Seperation'!BB18</f>
        <v>82.218833333333322</v>
      </c>
      <c r="F18" s="479"/>
      <c r="G18" s="479">
        <f>'1 Mi Zone Seperation'!BM18</f>
        <v>177.63</v>
      </c>
      <c r="H18" s="479">
        <f>'1 Mi Zone Seperation'!BR18</f>
        <v>87.316833333333335</v>
      </c>
      <c r="I18" s="480">
        <f t="shared" si="0"/>
        <v>403.95416666666665</v>
      </c>
    </row>
    <row r="19" spans="1:10" x14ac:dyDescent="0.25">
      <c r="A19" s="494" t="s">
        <v>17</v>
      </c>
      <c r="B19" s="479"/>
      <c r="C19" s="479"/>
      <c r="D19" s="479">
        <f>'1 Mi Zone Seperation'!AV19</f>
        <v>56.736999999999995</v>
      </c>
      <c r="E19" s="479">
        <f>'1 Mi Zone Seperation'!BB19</f>
        <v>89.313000000000002</v>
      </c>
      <c r="F19" s="479"/>
      <c r="G19" s="479">
        <f>'1 Mi Zone Seperation'!BM19</f>
        <v>301.48350000000005</v>
      </c>
      <c r="H19" s="479">
        <f>'1 Mi Zone Seperation'!BR19</f>
        <v>100.17149999999999</v>
      </c>
      <c r="I19" s="480">
        <f t="shared" si="0"/>
        <v>547.70500000000004</v>
      </c>
    </row>
    <row r="20" spans="1:10" x14ac:dyDescent="0.25">
      <c r="A20" s="494" t="s">
        <v>18</v>
      </c>
      <c r="B20" s="479"/>
      <c r="C20" s="479"/>
      <c r="D20" s="479">
        <f>'1 Mi Zone Seperation'!AV20</f>
        <v>37.121666666666663</v>
      </c>
      <c r="E20" s="479">
        <f>'1 Mi Zone Seperation'!BB20</f>
        <v>50.419333333333334</v>
      </c>
      <c r="F20" s="479"/>
      <c r="G20" s="479">
        <f>'1 Mi Zone Seperation'!BM20</f>
        <v>173.26949999999999</v>
      </c>
      <c r="H20" s="479">
        <f>'1 Mi Zone Seperation'!BR20</f>
        <v>51.523833333333336</v>
      </c>
      <c r="I20" s="480">
        <f t="shared" si="0"/>
        <v>312.33433333333335</v>
      </c>
    </row>
    <row r="21" spans="1:10" x14ac:dyDescent="0.25">
      <c r="A21" s="494" t="s">
        <v>19</v>
      </c>
      <c r="B21" s="479"/>
      <c r="C21" s="479"/>
      <c r="D21" s="479">
        <f>'1 Mi Zone Seperation'!AV21</f>
        <v>65.81316666666666</v>
      </c>
      <c r="E21" s="479">
        <f>'1 Mi Zone Seperation'!BB21</f>
        <v>80.777500000000003</v>
      </c>
      <c r="F21" s="479"/>
      <c r="G21" s="479">
        <f>'1 Mi Zone Seperation'!BM21</f>
        <v>268.53250000000003</v>
      </c>
      <c r="H21" s="479">
        <f>'1 Mi Zone Seperation'!BR21</f>
        <v>49.951000000000001</v>
      </c>
      <c r="I21" s="480">
        <f t="shared" si="0"/>
        <v>465.07416666666671</v>
      </c>
    </row>
    <row r="22" spans="1:10" x14ac:dyDescent="0.25">
      <c r="A22" s="494" t="s">
        <v>29</v>
      </c>
      <c r="B22" s="479"/>
      <c r="C22" s="479"/>
      <c r="D22" s="479">
        <f>'1 Mi Zone Seperation'!AV22</f>
        <v>4743.2880000000005</v>
      </c>
      <c r="E22" s="479">
        <f>'1 Mi Zone Seperation'!BB22</f>
        <v>4748.6509999999998</v>
      </c>
      <c r="F22" s="479"/>
      <c r="G22" s="479">
        <f>'1 Mi Zone Seperation'!BM22</f>
        <v>10223.949499999999</v>
      </c>
      <c r="H22" s="479">
        <f>'1 Mi Zone Seperation'!BR22</f>
        <v>3414.5765000000001</v>
      </c>
      <c r="I22" s="480">
        <f t="shared" si="0"/>
        <v>23130.465</v>
      </c>
    </row>
    <row r="23" spans="1:10" x14ac:dyDescent="0.25">
      <c r="A23" s="494" t="s">
        <v>21</v>
      </c>
      <c r="B23" s="479"/>
      <c r="C23" s="479"/>
      <c r="D23" s="479">
        <f>'1 Mi Zone Seperation'!AV23</f>
        <v>3241.9166666666665</v>
      </c>
      <c r="E23" s="479">
        <f>'1 Mi Zone Seperation'!BB23</f>
        <v>3032.083333333333</v>
      </c>
      <c r="F23" s="479"/>
      <c r="G23" s="479">
        <f>'1 Mi Zone Seperation'!BM23</f>
        <v>6744.75</v>
      </c>
      <c r="H23" s="479">
        <f>'1 Mi Zone Seperation'!BR23</f>
        <v>2254.333333333333</v>
      </c>
      <c r="I23" s="480">
        <f t="shared" si="0"/>
        <v>15273.083333333332</v>
      </c>
    </row>
    <row r="24" spans="1:10" x14ac:dyDescent="0.25">
      <c r="A24" s="494" t="s">
        <v>22</v>
      </c>
      <c r="B24" s="479"/>
      <c r="C24" s="479"/>
      <c r="D24" s="479">
        <f>'1 Mi Zone Seperation'!AV24</f>
        <v>2536.25</v>
      </c>
      <c r="E24" s="479">
        <f>'1 Mi Zone Seperation'!BB24</f>
        <v>2918.75</v>
      </c>
      <c r="F24" s="479"/>
      <c r="G24" s="479">
        <f>'1 Mi Zone Seperation'!BM24</f>
        <v>6904.25</v>
      </c>
      <c r="H24" s="479">
        <f>'1 Mi Zone Seperation'!BR24</f>
        <v>2447.5</v>
      </c>
      <c r="I24" s="480">
        <f t="shared" si="0"/>
        <v>14806.75</v>
      </c>
    </row>
    <row r="25" spans="1:10" x14ac:dyDescent="0.25">
      <c r="A25" s="494" t="s">
        <v>507</v>
      </c>
      <c r="B25" s="479"/>
      <c r="C25" s="479"/>
      <c r="D25" s="479">
        <f>'1 Mi Zone Seperation'!AV25</f>
        <v>4108.8333333333339</v>
      </c>
      <c r="E25" s="479">
        <f>'1 Mi Zone Seperation'!BB25</f>
        <v>4094.1666666666665</v>
      </c>
      <c r="F25" s="479"/>
      <c r="G25" s="479">
        <f>'1 Mi Zone Seperation'!BM25</f>
        <v>7414</v>
      </c>
      <c r="H25" s="479">
        <f>'1 Mi Zone Seperation'!BR25</f>
        <v>2371.9166666666665</v>
      </c>
      <c r="I25" s="480">
        <f t="shared" si="0"/>
        <v>17988.916666666668</v>
      </c>
    </row>
    <row r="26" spans="1:10" x14ac:dyDescent="0.25">
      <c r="A26" s="494" t="s">
        <v>30</v>
      </c>
      <c r="B26" s="479"/>
      <c r="C26" s="479"/>
      <c r="D26" s="479">
        <f>'1 Mi Zone Seperation'!AV26</f>
        <v>1316</v>
      </c>
      <c r="E26" s="479">
        <f>'1 Mi Zone Seperation'!BB26</f>
        <v>1316</v>
      </c>
      <c r="F26" s="479"/>
      <c r="G26" s="479">
        <f>'1 Mi Zone Seperation'!BM26</f>
        <v>2847.666666666667</v>
      </c>
      <c r="H26" s="479">
        <f>'1 Mi Zone Seperation'!BR26</f>
        <v>1065.3333333333333</v>
      </c>
      <c r="I26" s="480">
        <f t="shared" si="0"/>
        <v>6545</v>
      </c>
    </row>
    <row r="27" spans="1:10" x14ac:dyDescent="0.25">
      <c r="A27" s="494" t="s">
        <v>24</v>
      </c>
      <c r="B27" s="479"/>
      <c r="C27" s="479"/>
      <c r="D27" s="479">
        <f>'1 Mi Zone Seperation'!AV27</f>
        <v>306.16666666666663</v>
      </c>
      <c r="E27" s="479">
        <f>'1 Mi Zone Seperation'!BB27</f>
        <v>439.83333333333326</v>
      </c>
      <c r="F27" s="479"/>
      <c r="G27" s="479">
        <f>'1 Mi Zone Seperation'!BM27</f>
        <v>3277.6666666666665</v>
      </c>
      <c r="H27" s="479">
        <f>'1 Mi Zone Seperation'!BR27</f>
        <v>897.16666666666663</v>
      </c>
      <c r="I27" s="480">
        <f t="shared" si="0"/>
        <v>4920.833333333333</v>
      </c>
    </row>
    <row r="28" spans="1:10" x14ac:dyDescent="0.25">
      <c r="A28" s="494" t="s">
        <v>508</v>
      </c>
      <c r="B28" s="479"/>
      <c r="C28" s="479"/>
      <c r="D28" s="479">
        <f>'1 Mi Zone Seperation'!AV28</f>
        <v>2458.6666666666665</v>
      </c>
      <c r="E28" s="479">
        <f>'1 Mi Zone Seperation'!BB28</f>
        <v>2424.5</v>
      </c>
      <c r="F28" s="479"/>
      <c r="G28" s="479">
        <f>'1 Mi Zone Seperation'!BM28</f>
        <v>5649.833333333333</v>
      </c>
      <c r="H28" s="479">
        <f>'1 Mi Zone Seperation'!BR28</f>
        <v>1929.4166666666665</v>
      </c>
      <c r="I28" s="480">
        <f t="shared" si="0"/>
        <v>12462.416666666666</v>
      </c>
    </row>
    <row r="29" spans="1:10" x14ac:dyDescent="0.25">
      <c r="A29" s="494" t="s">
        <v>25</v>
      </c>
      <c r="B29" s="479"/>
      <c r="C29" s="479"/>
      <c r="D29" s="479">
        <f>'1 Mi Zone Seperation'!AV29</f>
        <v>3.8774999999999999</v>
      </c>
      <c r="E29" s="479">
        <f>'1 Mi Zone Seperation'!BB29</f>
        <v>3.815833333333333</v>
      </c>
      <c r="F29" s="479"/>
      <c r="G29" s="479">
        <f>'1 Mi Zone Seperation'!BM29</f>
        <v>9.5108333333333341</v>
      </c>
      <c r="H29" s="479">
        <f>'1 Mi Zone Seperation'!BR29</f>
        <v>3.1349999999999998</v>
      </c>
      <c r="I29" s="480">
        <f t="shared" si="0"/>
        <v>20.339166666666664</v>
      </c>
    </row>
    <row r="30" spans="1:10" x14ac:dyDescent="0.25">
      <c r="A30" s="494" t="s">
        <v>509</v>
      </c>
      <c r="B30" s="479"/>
      <c r="C30" s="479"/>
      <c r="D30" s="479">
        <f>'1 Mi Zone Seperation'!AV30</f>
        <v>631.75</v>
      </c>
      <c r="E30" s="479">
        <f>'1 Mi Zone Seperation'!BB30</f>
        <v>741.25</v>
      </c>
      <c r="F30" s="479"/>
      <c r="G30" s="479">
        <f>'1 Mi Zone Seperation'!BM30</f>
        <v>2600.25</v>
      </c>
      <c r="H30" s="479">
        <f>'1 Mi Zone Seperation'!BR30</f>
        <v>839.75</v>
      </c>
      <c r="I30" s="481">
        <f t="shared" si="0"/>
        <v>4813</v>
      </c>
    </row>
    <row r="31" spans="1:10" x14ac:dyDescent="0.25">
      <c r="A31" s="494" t="s">
        <v>26</v>
      </c>
      <c r="B31" s="479"/>
      <c r="C31" s="479"/>
      <c r="D31" s="479">
        <f>'1 Mi Zone Seperation'!AV31</f>
        <v>4.9725000000000001</v>
      </c>
      <c r="E31" s="479">
        <f>'1 Mi Zone Seperation'!BB31</f>
        <v>5.1325000000000003</v>
      </c>
      <c r="F31" s="479"/>
      <c r="G31" s="479">
        <f>'1 Mi Zone Seperation'!BM31</f>
        <v>12.635833333333332</v>
      </c>
      <c r="H31" s="479">
        <f>'1 Mi Zone Seperation'!BR31</f>
        <v>4.4141666666666666</v>
      </c>
      <c r="I31" s="480">
        <f t="shared" si="0"/>
        <v>27.155000000000001</v>
      </c>
    </row>
    <row r="32" spans="1:10" x14ac:dyDescent="0.25">
      <c r="A32" s="494" t="s">
        <v>23</v>
      </c>
      <c r="B32" s="479"/>
      <c r="C32" s="479"/>
      <c r="D32" s="479">
        <f>'1 Mi Zone Seperation'!AV32</f>
        <v>2804.4166666666665</v>
      </c>
      <c r="E32" s="479">
        <f>'1 Mi Zone Seperation'!BB32</f>
        <v>2696.4166666666665</v>
      </c>
      <c r="F32" s="479"/>
      <c r="G32" s="479">
        <f>'1 Mi Zone Seperation'!BM32</f>
        <v>6491.9166666666661</v>
      </c>
      <c r="H32" s="479">
        <f>'1 Mi Zone Seperation'!BR32</f>
        <v>2319.25</v>
      </c>
      <c r="I32" s="480">
        <f t="shared" si="0"/>
        <v>14312</v>
      </c>
      <c r="J32" s="476"/>
    </row>
    <row r="33" spans="1:9" x14ac:dyDescent="0.25">
      <c r="A33" s="494" t="s">
        <v>27</v>
      </c>
      <c r="B33" s="479"/>
      <c r="C33" s="479"/>
      <c r="D33" s="479">
        <f>'1 Mi Zone Seperation'!AV33</f>
        <v>2458.6666666666665</v>
      </c>
      <c r="E33" s="479">
        <f>'1 Mi Zone Seperation'!BB33</f>
        <v>2424.5</v>
      </c>
      <c r="F33" s="479"/>
      <c r="G33" s="479">
        <f>'1 Mi Zone Seperation'!BM33</f>
        <v>5649.833333333333</v>
      </c>
      <c r="H33" s="479">
        <f>'1 Mi Zone Seperation'!BR33</f>
        <v>1929.4166666666665</v>
      </c>
      <c r="I33" s="480">
        <f t="shared" si="0"/>
        <v>12462.416666666666</v>
      </c>
    </row>
    <row r="34" spans="1:9" x14ac:dyDescent="0.25">
      <c r="A34" s="494" t="s">
        <v>28</v>
      </c>
      <c r="B34" s="479"/>
      <c r="C34" s="479"/>
      <c r="D34" s="479">
        <f>'1 Mi Zone Seperation'!AV34</f>
        <v>345.75</v>
      </c>
      <c r="E34" s="479">
        <f>'1 Mi Zone Seperation'!BB34</f>
        <v>271.91666666666663</v>
      </c>
      <c r="F34" s="479"/>
      <c r="G34" s="479">
        <f>'1 Mi Zone Seperation'!BM34</f>
        <v>842.08333333333326</v>
      </c>
      <c r="H34" s="479">
        <f>'1 Mi Zone Seperation'!BR34</f>
        <v>389.83333333333331</v>
      </c>
      <c r="I34" s="480">
        <f t="shared" si="0"/>
        <v>1849.5833333333333</v>
      </c>
    </row>
    <row r="35" spans="1:9" x14ac:dyDescent="0.25">
      <c r="A35" s="496" t="s">
        <v>670</v>
      </c>
      <c r="B35" s="483"/>
      <c r="C35" s="483"/>
      <c r="D35" s="483">
        <f>'1 Mi Zone Seperation'!AV35</f>
        <v>135049.83508156775</v>
      </c>
      <c r="E35" s="483">
        <f>'1 Mi Zone Seperation'!BB35</f>
        <v>154562.33908185569</v>
      </c>
      <c r="F35" s="483"/>
      <c r="G35" s="483">
        <f>'1 Mi Zone Seperation'!BM35</f>
        <v>111084.33812314361</v>
      </c>
      <c r="H35" s="483">
        <f>'1 Mi Zone Seperation'!BR35</f>
        <v>101770.00913848967</v>
      </c>
      <c r="I35" s="484">
        <f>ROUND(((B35*$B$32)+(C35*$C$32)+(D35*$D$32)+(E35*$E$32)+(F35*$F$32)+(G35*$G$32)+(H35*$H$32))/$I$32,3)</f>
        <v>122462.32799999999</v>
      </c>
    </row>
    <row r="36" spans="1:9" x14ac:dyDescent="0.25">
      <c r="A36" s="497" t="s">
        <v>46</v>
      </c>
      <c r="B36" s="479"/>
      <c r="C36" s="479"/>
      <c r="D36" s="479">
        <f>'1 Mi Zone Seperation'!AV36</f>
        <v>2846.3333333333335</v>
      </c>
      <c r="E36" s="479">
        <f>'1 Mi Zone Seperation'!BB36</f>
        <v>2744.6666666666665</v>
      </c>
      <c r="F36" s="479"/>
      <c r="G36" s="479">
        <f>'1 Mi Zone Seperation'!BM36</f>
        <v>6228.5</v>
      </c>
      <c r="H36" s="479">
        <f>'1 Mi Zone Seperation'!BR36</f>
        <v>2006.1666666666665</v>
      </c>
      <c r="I36" s="480">
        <f t="shared" si="0"/>
        <v>13825.666666666666</v>
      </c>
    </row>
    <row r="37" spans="1:9" ht="15" customHeight="1" x14ac:dyDescent="0.25">
      <c r="A37" s="497" t="s">
        <v>424</v>
      </c>
      <c r="B37" s="486"/>
      <c r="C37" s="486"/>
      <c r="D37" s="486"/>
      <c r="E37" s="486"/>
      <c r="F37" s="486"/>
      <c r="G37" s="486"/>
      <c r="H37" s="486"/>
      <c r="I37" s="480"/>
    </row>
    <row r="38" spans="1:9" x14ac:dyDescent="0.25">
      <c r="A38" s="497" t="s">
        <v>425</v>
      </c>
      <c r="B38" s="487"/>
      <c r="C38" s="487"/>
      <c r="D38" s="487">
        <f>'1 Mi Zone Seperation'!AV38</f>
        <v>0.68813830659327802</v>
      </c>
      <c r="E38" s="487">
        <f>'1 Mi Zone Seperation'!BB38</f>
        <v>0.76100425066796218</v>
      </c>
      <c r="F38" s="487"/>
      <c r="G38" s="487">
        <f>'1 Mi Zone Seperation'!BM38</f>
        <v>0.86358481175242829</v>
      </c>
      <c r="H38" s="487">
        <f>'1 Mi Zone Seperation'!BR38</f>
        <v>0.79234493644595838</v>
      </c>
      <c r="I38" s="488">
        <f>ROUND(((B38*$B$36)+(C38*$C$36)+(D38*$D$36)+(E38*$E$36)+(F38*$F$36)+(G38*$G$36)+(H38*$H$36))/$I$36,3)</f>
        <v>0.79700000000000004</v>
      </c>
    </row>
    <row r="39" spans="1:9" x14ac:dyDescent="0.25">
      <c r="A39" s="497" t="s">
        <v>33</v>
      </c>
      <c r="B39" s="487"/>
      <c r="C39" s="487"/>
      <c r="D39" s="487">
        <f>'1 Mi Zone Seperation'!AV39</f>
        <v>0.60271858531443956</v>
      </c>
      <c r="E39" s="487">
        <f>'1 Mi Zone Seperation'!BB39</f>
        <v>0.64944826329851835</v>
      </c>
      <c r="F39" s="487"/>
      <c r="G39" s="487">
        <f>'1 Mi Zone Seperation'!BM39</f>
        <v>0.66917122902785586</v>
      </c>
      <c r="H39" s="487">
        <f>'1 Mi Zone Seperation'!BR39</f>
        <v>0.67475600232616095</v>
      </c>
      <c r="I39" s="488">
        <f t="shared" ref="I39:I60" si="1">ROUND(((B39*$B$36)+(C39*$C$36)+(D39*$D$36)+(E39*$E$36)+(F39*$F$36)+(G39*$G$36)+(H39*$H$36))/$I$36,3)</f>
        <v>0.65200000000000002</v>
      </c>
    </row>
    <row r="40" spans="1:9" x14ac:dyDescent="0.25">
      <c r="A40" s="497" t="s">
        <v>426</v>
      </c>
      <c r="B40" s="487"/>
      <c r="C40" s="487"/>
      <c r="D40" s="487">
        <f>'1 Mi Zone Seperation'!AV40</f>
        <v>8.5209977749150956E-2</v>
      </c>
      <c r="E40" s="487">
        <f>'1 Mi Zone Seperation'!BB40</f>
        <v>0.11133847461743988</v>
      </c>
      <c r="F40" s="487"/>
      <c r="G40" s="487">
        <f>'1 Mi Zone Seperation'!BM40</f>
        <v>0.19447330818013969</v>
      </c>
      <c r="H40" s="487">
        <f>'1 Mi Zone Seperation'!BR40</f>
        <v>0.11758893411979728</v>
      </c>
      <c r="I40" s="488">
        <f t="shared" si="1"/>
        <v>0.14399999999999999</v>
      </c>
    </row>
    <row r="41" spans="1:9" x14ac:dyDescent="0.25">
      <c r="A41" s="497" t="s">
        <v>35</v>
      </c>
      <c r="B41" s="487"/>
      <c r="C41" s="487"/>
      <c r="D41" s="487">
        <f>'1 Mi Zone Seperation'!AV41</f>
        <v>6.9093336456259508E-2</v>
      </c>
      <c r="E41" s="487">
        <f>'1 Mi Zone Seperation'!BB41</f>
        <v>9.2265727471459794E-2</v>
      </c>
      <c r="F41" s="487"/>
      <c r="G41" s="487">
        <f>'1 Mi Zone Seperation'!BM41</f>
        <v>0.17084699365818415</v>
      </c>
      <c r="H41" s="487">
        <f>'1 Mi Zone Seperation'!BR41</f>
        <v>0.10895962449115228</v>
      </c>
      <c r="I41" s="488">
        <f t="shared" si="1"/>
        <v>0.125</v>
      </c>
    </row>
    <row r="42" spans="1:9" x14ac:dyDescent="0.25">
      <c r="A42" s="497" t="s">
        <v>36</v>
      </c>
      <c r="B42" s="487"/>
      <c r="C42" s="487"/>
      <c r="D42" s="487">
        <f>'1 Mi Zone Seperation'!AV42</f>
        <v>1.0530507085138772E-2</v>
      </c>
      <c r="E42" s="487">
        <f>'1 Mi Zone Seperation'!BB42</f>
        <v>1.4997206703910615E-2</v>
      </c>
      <c r="F42" s="487"/>
      <c r="G42" s="487">
        <f>'1 Mi Zone Seperation'!BM42</f>
        <v>7.583045677129324E-3</v>
      </c>
      <c r="H42" s="487">
        <f>'1 Mi Zone Seperation'!BR42</f>
        <v>7.306637866578051E-3</v>
      </c>
      <c r="I42" s="488">
        <f t="shared" si="1"/>
        <v>0.01</v>
      </c>
    </row>
    <row r="43" spans="1:9" x14ac:dyDescent="0.25">
      <c r="A43" s="497" t="s">
        <v>427</v>
      </c>
      <c r="B43" s="487"/>
      <c r="C43" s="487"/>
      <c r="D43" s="487">
        <f>'1 Mi Zone Seperation'!AV43</f>
        <v>5.5861342077526644E-3</v>
      </c>
      <c r="E43" s="487">
        <f>'1 Mi Zone Seperation'!BB43</f>
        <v>4.260626669905271E-3</v>
      </c>
      <c r="F43" s="487"/>
      <c r="G43" s="487">
        <f>'1 Mi Zone Seperation'!BM43</f>
        <v>1.6043268844826201E-2</v>
      </c>
      <c r="H43" s="487">
        <f>'1 Mi Zone Seperation'!BR43</f>
        <v>1.4492813824042538E-3</v>
      </c>
      <c r="I43" s="488">
        <f t="shared" si="1"/>
        <v>8.9999999999999993E-3</v>
      </c>
    </row>
    <row r="44" spans="1:9" x14ac:dyDescent="0.25">
      <c r="A44" s="497" t="s">
        <v>428</v>
      </c>
      <c r="B44" s="489"/>
      <c r="C44" s="489"/>
      <c r="D44" s="489">
        <f>'1 Mi Zone Seperation'!AV44</f>
        <v>1.0722625600187374</v>
      </c>
      <c r="E44" s="489">
        <f>'1 Mi Zone Seperation'!BB44</f>
        <v>1.0847583191644401</v>
      </c>
      <c r="F44" s="489"/>
      <c r="G44" s="489">
        <f>'1 Mi Zone Seperation'!BM44</f>
        <v>1.1452942120895881</v>
      </c>
      <c r="H44" s="489">
        <f>'1 Mi Zone Seperation'!BR44</f>
        <v>1.0872700839079505</v>
      </c>
      <c r="I44" s="490">
        <f t="shared" si="1"/>
        <v>1.1100000000000001</v>
      </c>
    </row>
    <row r="45" spans="1:9" ht="15" customHeight="1" x14ac:dyDescent="0.25">
      <c r="A45" s="497" t="s">
        <v>429</v>
      </c>
      <c r="B45" s="487"/>
      <c r="C45" s="487"/>
      <c r="D45" s="487">
        <f>'1 Mi Zone Seperation'!AV45</f>
        <v>3.1773509778662605E-2</v>
      </c>
      <c r="E45" s="487">
        <f>'1 Mi Zone Seperation'!BB45</f>
        <v>5.448421180471217E-2</v>
      </c>
      <c r="F45" s="487"/>
      <c r="G45" s="487">
        <f>'1 Mi Zone Seperation'!BM45</f>
        <v>5.1105161756442155E-2</v>
      </c>
      <c r="H45" s="487">
        <f>'1 Mi Zone Seperation'!BR45</f>
        <v>4.4591260280800869E-2</v>
      </c>
      <c r="I45" s="488">
        <f t="shared" si="1"/>
        <v>4.7E-2</v>
      </c>
    </row>
    <row r="46" spans="1:9" x14ac:dyDescent="0.25">
      <c r="A46" s="497" t="s">
        <v>41</v>
      </c>
      <c r="B46" s="487"/>
      <c r="C46" s="487"/>
      <c r="D46" s="487">
        <f>'1 Mi Zone Seperation'!AV46</f>
        <v>0.19982257875629464</v>
      </c>
      <c r="E46" s="487">
        <f>'1 Mi Zone Seperation'!BB46</f>
        <v>0.10282754432839446</v>
      </c>
      <c r="F46" s="487"/>
      <c r="G46" s="487">
        <f>'1 Mi Zone Seperation'!BM46</f>
        <v>4.0507425543870913E-2</v>
      </c>
      <c r="H46" s="487">
        <f>'1 Mi Zone Seperation'!BR46</f>
        <v>8.3420702832931778E-2</v>
      </c>
      <c r="I46" s="488">
        <f t="shared" si="1"/>
        <v>9.1999999999999998E-2</v>
      </c>
    </row>
    <row r="47" spans="1:9" x14ac:dyDescent="0.25">
      <c r="A47" s="497" t="s">
        <v>40</v>
      </c>
      <c r="B47" s="487"/>
      <c r="C47" s="487"/>
      <c r="D47" s="487">
        <f>'1 Mi Zone Seperation'!AV47</f>
        <v>3.5027989225904665E-2</v>
      </c>
      <c r="E47" s="487">
        <f>'1 Mi Zone Seperation'!BB47</f>
        <v>3.9027082827301426E-2</v>
      </c>
      <c r="F47" s="487"/>
      <c r="G47" s="487">
        <f>'1 Mi Zone Seperation'!BM47</f>
        <v>8.5020470418238746E-3</v>
      </c>
      <c r="H47" s="487">
        <f>'1 Mi Zone Seperation'!BR47</f>
        <v>2.8984796876298079E-2</v>
      </c>
      <c r="I47" s="488">
        <f t="shared" si="1"/>
        <v>2.3E-2</v>
      </c>
    </row>
    <row r="48" spans="1:9" x14ac:dyDescent="0.25">
      <c r="A48" s="497" t="s">
        <v>430</v>
      </c>
      <c r="B48" s="487"/>
      <c r="C48" s="487"/>
      <c r="D48" s="487">
        <f>'1 Mi Zone Seperation'!AV48</f>
        <v>1.6379318421360815E-2</v>
      </c>
      <c r="E48" s="487">
        <f>'1 Mi Zone Seperation'!BB48</f>
        <v>1.8512266213262085E-2</v>
      </c>
      <c r="F48" s="487"/>
      <c r="G48" s="487">
        <f>'1 Mi Zone Seperation'!BM48</f>
        <v>1.0016296058441038E-2</v>
      </c>
      <c r="H48" s="487">
        <f>'1 Mi Zone Seperation'!BR48</f>
        <v>2.7720279139320431E-2</v>
      </c>
      <c r="I48" s="488">
        <f t="shared" si="1"/>
        <v>1.6E-2</v>
      </c>
    </row>
    <row r="49" spans="1:9" x14ac:dyDescent="0.25">
      <c r="A49" s="497" t="s">
        <v>42</v>
      </c>
      <c r="B49" s="487"/>
      <c r="C49" s="487"/>
      <c r="D49" s="487">
        <f>'1 Mi Zone Seperation'!AV49</f>
        <v>2.9068040754186668E-2</v>
      </c>
      <c r="E49" s="487">
        <f>'1 Mi Zone Seperation'!BB49</f>
        <v>2.4362156910371632E-2</v>
      </c>
      <c r="F49" s="487"/>
      <c r="G49" s="487">
        <f>'1 Mi Zone Seperation'!BM49</f>
        <v>2.6594284338123147E-2</v>
      </c>
      <c r="H49" s="487">
        <f>'1 Mi Zone Seperation'!BR49</f>
        <v>2.2938024424690538E-2</v>
      </c>
      <c r="I49" s="488">
        <f t="shared" si="1"/>
        <v>2.5999999999999999E-2</v>
      </c>
    </row>
    <row r="50" spans="1:9" x14ac:dyDescent="0.25">
      <c r="A50" s="497" t="s">
        <v>87</v>
      </c>
      <c r="B50" s="487"/>
      <c r="C50" s="487"/>
      <c r="D50" s="487"/>
      <c r="E50" s="487"/>
      <c r="F50" s="487"/>
      <c r="G50" s="487"/>
      <c r="H50" s="487"/>
      <c r="I50" s="488"/>
    </row>
    <row r="51" spans="1:9" x14ac:dyDescent="0.25">
      <c r="A51" s="497" t="s">
        <v>431</v>
      </c>
      <c r="B51" s="487"/>
      <c r="C51" s="487"/>
      <c r="D51" s="487">
        <f>'1 Mi Zone Seperation'!AV51</f>
        <v>0.21461880782293002</v>
      </c>
      <c r="E51" s="487">
        <f>'1 Mi Zone Seperation'!BB51</f>
        <v>0.22786677192130192</v>
      </c>
      <c r="F51" s="487"/>
      <c r="G51" s="487">
        <f>'1 Mi Zone Seperation'!BM51</f>
        <v>0.18660817211206551</v>
      </c>
      <c r="H51" s="487">
        <f>'1 Mi Zone Seperation'!BR51</f>
        <v>0.21099410152031239</v>
      </c>
      <c r="I51" s="488">
        <f t="shared" si="1"/>
        <v>0.20399999999999999</v>
      </c>
    </row>
    <row r="52" spans="1:9" x14ac:dyDescent="0.25">
      <c r="A52" s="497" t="s">
        <v>432</v>
      </c>
      <c r="B52" s="487"/>
      <c r="C52" s="487"/>
      <c r="D52" s="487">
        <f>'1 Mi Zone Seperation'!AV52</f>
        <v>0.26760370066752542</v>
      </c>
      <c r="E52" s="487">
        <f>'1 Mi Zone Seperation'!BB52</f>
        <v>0.22100170026718485</v>
      </c>
      <c r="F52" s="487"/>
      <c r="G52" s="487">
        <f>'1 Mi Zone Seperation'!BM52</f>
        <v>0.16655775868989323</v>
      </c>
      <c r="H52" s="487">
        <f>'1 Mi Zone Seperation'!BR52</f>
        <v>0.20730381324250227</v>
      </c>
      <c r="I52" s="488">
        <f t="shared" si="1"/>
        <v>0.20399999999999999</v>
      </c>
    </row>
    <row r="53" spans="1:9" x14ac:dyDescent="0.25">
      <c r="A53" s="497" t="s">
        <v>433</v>
      </c>
      <c r="B53" s="487"/>
      <c r="C53" s="487"/>
      <c r="D53" s="487">
        <f>'1 Mi Zone Seperation'!AV53</f>
        <v>0.23054994730062067</v>
      </c>
      <c r="E53" s="487">
        <f>'1 Mi Zone Seperation'!BB53</f>
        <v>0.21031673548700511</v>
      </c>
      <c r="F53" s="487"/>
      <c r="G53" s="487">
        <f>'1 Mi Zone Seperation'!BM53</f>
        <v>0.19717042626635631</v>
      </c>
      <c r="H53" s="487">
        <f>'1 Mi Zone Seperation'!BR53</f>
        <v>0.21131162249730001</v>
      </c>
      <c r="I53" s="488">
        <f t="shared" si="1"/>
        <v>0.20899999999999999</v>
      </c>
    </row>
    <row r="54" spans="1:9" x14ac:dyDescent="0.25">
      <c r="A54" s="497" t="s">
        <v>434</v>
      </c>
      <c r="B54" s="487"/>
      <c r="C54" s="487"/>
      <c r="D54" s="487">
        <f>'1 Mi Zone Seperation'!AV54</f>
        <v>0.10334863567162431</v>
      </c>
      <c r="E54" s="487">
        <f>'1 Mi Zone Seperation'!BB54</f>
        <v>0.14267792081612826</v>
      </c>
      <c r="F54" s="487"/>
      <c r="G54" s="487">
        <f>'1 Mi Zone Seperation'!BM54</f>
        <v>0.20317572449225335</v>
      </c>
      <c r="H54" s="487">
        <f>'1 Mi Zone Seperation'!BR54</f>
        <v>0.14846938605964943</v>
      </c>
      <c r="I54" s="488">
        <f t="shared" si="1"/>
        <v>0.16300000000000001</v>
      </c>
    </row>
    <row r="55" spans="1:9" x14ac:dyDescent="0.25">
      <c r="A55" s="497" t="s">
        <v>435</v>
      </c>
      <c r="B55" s="487"/>
      <c r="C55" s="487"/>
      <c r="D55" s="487">
        <f>'1 Mi Zone Seperation'!AV55</f>
        <v>2.8800562126712729E-2</v>
      </c>
      <c r="E55" s="487">
        <f>'1 Mi Zone Seperation'!BB55</f>
        <v>3.1841510808841386E-2</v>
      </c>
      <c r="F55" s="487"/>
      <c r="G55" s="487">
        <f>'1 Mi Zone Seperation'!BM55</f>
        <v>5.9390864574135026E-2</v>
      </c>
      <c r="H55" s="487">
        <f>'1 Mi Zone Seperation'!BR55</f>
        <v>5.7405167400515079E-2</v>
      </c>
      <c r="I55" s="488">
        <f t="shared" si="1"/>
        <v>4.7E-2</v>
      </c>
    </row>
    <row r="56" spans="1:9" x14ac:dyDescent="0.25">
      <c r="A56" s="497" t="s">
        <v>436</v>
      </c>
      <c r="B56" s="487"/>
      <c r="C56" s="487"/>
      <c r="D56" s="487">
        <f>'1 Mi Zone Seperation'!AV56</f>
        <v>6.8916617870945066E-2</v>
      </c>
      <c r="E56" s="487">
        <f>'1 Mi Zone Seperation'!BB56</f>
        <v>7.6261355355841637E-2</v>
      </c>
      <c r="F56" s="487"/>
      <c r="G56" s="487">
        <f>'1 Mi Zone Seperation'!BM56</f>
        <v>9.1702336035963714E-2</v>
      </c>
      <c r="H56" s="487">
        <f>'1 Mi Zone Seperation'!BR56</f>
        <v>8.7218576057157104E-2</v>
      </c>
      <c r="I56" s="488">
        <f>ROUND(((B56*$B$36)+(C56*$C$36)+(D56*$D$36)+(E56*$E$36)+(F56*$F$36)+(G56*$G$36)+(H56*$H$36))/$I$36,3)</f>
        <v>8.3000000000000004E-2</v>
      </c>
    </row>
    <row r="57" spans="1:9" x14ac:dyDescent="0.25">
      <c r="A57" s="497" t="s">
        <v>437</v>
      </c>
      <c r="B57" s="487"/>
      <c r="C57" s="487"/>
      <c r="D57" s="487">
        <f>'1 Mi Zone Seperation'!AV57</f>
        <v>2.3000936877854549E-2</v>
      </c>
      <c r="E57" s="487">
        <f>'1 Mi Zone Seperation'!BB57</f>
        <v>2.4991741559387902E-2</v>
      </c>
      <c r="F57" s="487"/>
      <c r="G57" s="487">
        <f>'1 Mi Zone Seperation'!BM57</f>
        <v>2.1852372160231198E-2</v>
      </c>
      <c r="H57" s="487">
        <f>'1 Mi Zone Seperation'!BR57</f>
        <v>1.7497299991692285E-2</v>
      </c>
      <c r="I57" s="488">
        <f t="shared" si="1"/>
        <v>2.1999999999999999E-2</v>
      </c>
    </row>
    <row r="58" spans="1:9" x14ac:dyDescent="0.25">
      <c r="A58" s="497" t="s">
        <v>438</v>
      </c>
      <c r="B58" s="487"/>
      <c r="C58" s="487"/>
      <c r="D58" s="487">
        <f>'1 Mi Zone Seperation'!AV58</f>
        <v>1.8083967677714016E-2</v>
      </c>
      <c r="E58" s="487">
        <f>'1 Mi Zone Seperation'!BB58</f>
        <v>2.1195652173913043E-2</v>
      </c>
      <c r="F58" s="487"/>
      <c r="G58" s="487">
        <f>'1 Mi Zone Seperation'!BM58</f>
        <v>3.5715501324556476E-2</v>
      </c>
      <c r="H58" s="487">
        <f>'1 Mi Zone Seperation'!BR58</f>
        <v>1.7645592755670018E-2</v>
      </c>
      <c r="I58" s="488">
        <f t="shared" si="1"/>
        <v>2.7E-2</v>
      </c>
    </row>
    <row r="59" spans="1:9" x14ac:dyDescent="0.25">
      <c r="A59" s="497" t="s">
        <v>439</v>
      </c>
      <c r="B59" s="487"/>
      <c r="C59" s="487"/>
      <c r="D59" s="487">
        <f>'1 Mi Zone Seperation'!AV59</f>
        <v>4.5384822578756291E-2</v>
      </c>
      <c r="E59" s="487">
        <f>'1 Mi Zone Seperation'!BB59</f>
        <v>4.3888025261112462E-2</v>
      </c>
      <c r="F59" s="487"/>
      <c r="G59" s="487">
        <f>'1 Mi Zone Seperation'!BM59</f>
        <v>3.7844906478285298E-2</v>
      </c>
      <c r="H59" s="487">
        <f>'1 Mi Zone Seperation'!BR59</f>
        <v>4.3027830854864169E-2</v>
      </c>
      <c r="I59" s="488">
        <f t="shared" si="1"/>
        <v>4.1000000000000002E-2</v>
      </c>
    </row>
    <row r="60" spans="1:9" x14ac:dyDescent="0.25">
      <c r="A60" s="497" t="s">
        <v>88</v>
      </c>
      <c r="B60" s="489"/>
      <c r="C60" s="489"/>
      <c r="D60" s="489">
        <f>'1 Mi Zone Seperation'!AV60</f>
        <v>17.985829722449935</v>
      </c>
      <c r="E60" s="489">
        <f>'1 Mi Zone Seperation'!BB60</f>
        <v>17.798129706096674</v>
      </c>
      <c r="F60" s="489"/>
      <c r="G60" s="489">
        <f>'1 Mi Zone Seperation'!BM60</f>
        <v>19.643597977041022</v>
      </c>
      <c r="H60" s="489">
        <f>'1 Mi Zone Seperation'!BR60</f>
        <v>18.329475783002408</v>
      </c>
      <c r="I60" s="490">
        <f t="shared" si="1"/>
        <v>18.745000000000001</v>
      </c>
    </row>
    <row r="61" spans="1:9" x14ac:dyDescent="0.25">
      <c r="A61" s="497" t="s">
        <v>89</v>
      </c>
      <c r="B61" s="486"/>
      <c r="C61" s="486"/>
      <c r="D61" s="486"/>
      <c r="E61" s="486"/>
      <c r="F61" s="486"/>
      <c r="G61" s="486"/>
      <c r="H61" s="486"/>
      <c r="I61" s="481"/>
    </row>
    <row r="62" spans="1:9" ht="15" customHeight="1" x14ac:dyDescent="0.25">
      <c r="A62" s="497" t="s">
        <v>440</v>
      </c>
      <c r="B62" s="479"/>
      <c r="C62" s="479"/>
      <c r="D62" s="479">
        <f>'1 Mi Zone Seperation'!AV62</f>
        <v>2683.083333333333</v>
      </c>
      <c r="E62" s="479">
        <f>'1 Mi Zone Seperation'!BB62</f>
        <v>2549.583333333333</v>
      </c>
      <c r="F62" s="479"/>
      <c r="G62" s="479">
        <f>'1 Mi Zone Seperation'!BM62</f>
        <v>6209.25</v>
      </c>
      <c r="H62" s="479">
        <f>'1 Mi Zone Seperation'!BR62</f>
        <v>1848.083333333333</v>
      </c>
      <c r="I62" s="480">
        <f>SUM(B62:H62)</f>
        <v>13290</v>
      </c>
    </row>
    <row r="63" spans="1:9" x14ac:dyDescent="0.25">
      <c r="A63" s="497" t="s">
        <v>441</v>
      </c>
      <c r="B63" s="487"/>
      <c r="C63" s="487"/>
      <c r="D63" s="487">
        <f>'1 Mi Zone Seperation'!AV63</f>
        <v>9.812001118116595E-2</v>
      </c>
      <c r="E63" s="487">
        <f>'1 Mi Zone Seperation'!BB63</f>
        <v>8.69507435855532E-2</v>
      </c>
      <c r="F63" s="487"/>
      <c r="G63" s="487">
        <f>'1 Mi Zone Seperation'!BM63</f>
        <v>0.10989402906953336</v>
      </c>
      <c r="H63" s="487">
        <f>'1 Mi Zone Seperation'!BR63</f>
        <v>8.287730531631872E-2</v>
      </c>
      <c r="I63" s="488">
        <f>ROUND(((B63*$B$62)+(C63*$C$62)+(D63*$D$62)+(E63*$E$62)+(F63*$F$62)+(G63*$G$62)+(H63*$H$62))/$I$62,3)</f>
        <v>9.9000000000000005E-2</v>
      </c>
    </row>
    <row r="64" spans="1:9" x14ac:dyDescent="0.25">
      <c r="A64" s="497" t="s">
        <v>442</v>
      </c>
      <c r="B64" s="487"/>
      <c r="C64" s="487"/>
      <c r="D64" s="487">
        <f>'1 Mi Zone Seperation'!AV64</f>
        <v>0.35779842842500853</v>
      </c>
      <c r="E64" s="487">
        <f>'1 Mi Zone Seperation'!BB64</f>
        <v>0.31205608759601244</v>
      </c>
      <c r="F64" s="487"/>
      <c r="G64" s="487">
        <f>'1 Mi Zone Seperation'!BM64</f>
        <v>0.2776397310464227</v>
      </c>
      <c r="H64" s="487">
        <f>'1 Mi Zone Seperation'!BR64</f>
        <v>0.42792334400505033</v>
      </c>
      <c r="I64" s="488">
        <f t="shared" ref="I64:I65" si="2">ROUND(((B64*$B$62)+(C64*$C$62)+(D64*$D$62)+(E64*$E$62)+(F64*$F$62)+(G64*$G$62)+(H64*$H$62))/$I$62,3)</f>
        <v>0.32100000000000001</v>
      </c>
    </row>
    <row r="65" spans="1:9" x14ac:dyDescent="0.25">
      <c r="A65" s="497" t="s">
        <v>443</v>
      </c>
      <c r="B65" s="487"/>
      <c r="C65" s="487"/>
      <c r="D65" s="487">
        <f>'1 Mi Zone Seperation'!AV65</f>
        <v>0.24986949094636149</v>
      </c>
      <c r="E65" s="487">
        <f>'1 Mi Zone Seperation'!BB65</f>
        <v>0.2829612028109168</v>
      </c>
      <c r="F65" s="487"/>
      <c r="G65" s="487">
        <f>'1 Mi Zone Seperation'!BM65</f>
        <v>0.4146827716712968</v>
      </c>
      <c r="H65" s="487">
        <f>'1 Mi Zone Seperation'!BR65</f>
        <v>0.30337344997069038</v>
      </c>
      <c r="I65" s="488">
        <f t="shared" si="2"/>
        <v>0.34100000000000003</v>
      </c>
    </row>
    <row r="66" spans="1:9" ht="15.75" thickBot="1" x14ac:dyDescent="0.3">
      <c r="A66" s="498" t="s">
        <v>444</v>
      </c>
      <c r="B66" s="492"/>
      <c r="C66" s="492"/>
      <c r="D66" s="492">
        <f>'1 Mi Zone Seperation'!AV66</f>
        <v>0.29421206944746409</v>
      </c>
      <c r="E66" s="492">
        <f>'1 Mi Zone Seperation'!BB66</f>
        <v>0.3180319660075176</v>
      </c>
      <c r="F66" s="492"/>
      <c r="G66" s="492">
        <f>'1 Mi Zone Seperation'!BM66</f>
        <v>0.19792446752828444</v>
      </c>
      <c r="H66" s="492">
        <f>'1 Mi Zone Seperation'!BR66</f>
        <v>0.18629963475672995</v>
      </c>
      <c r="I66" s="493">
        <f>ROUND(((B66*$B$62)+(C66*$C$62)+(D66*$D$62)+(E66*$E$62)+(F66*$F$62)+(G66*$G$62)+(H66*$H$62))/$I$62,3)</f>
        <v>0.23899999999999999</v>
      </c>
    </row>
  </sheetData>
  <sheetProtection password="891C" sheet="1" objects="1" scenarios="1"/>
  <mergeCells count="1">
    <mergeCell ref="A1:I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topLeftCell="B1" zoomScale="60" zoomScaleNormal="60" workbookViewId="0">
      <selection activeCell="S15" sqref="S14:S15"/>
    </sheetView>
  </sheetViews>
  <sheetFormatPr defaultRowHeight="15" x14ac:dyDescent="0.25"/>
  <cols>
    <col min="1" max="1" width="34.7109375" style="450" customWidth="1"/>
    <col min="2" max="4" width="15.7109375" style="450" customWidth="1"/>
    <col min="5" max="5" width="24.85546875" style="450" bestFit="1" customWidth="1"/>
    <col min="6" max="12" width="15.7109375" style="450" customWidth="1"/>
    <col min="13" max="13" width="11.5703125" style="450" bestFit="1" customWidth="1"/>
    <col min="14" max="14" width="18.7109375" style="450" bestFit="1" customWidth="1"/>
    <col min="15" max="16384" width="9.140625" style="450"/>
  </cols>
  <sheetData>
    <row r="1" spans="1:14" ht="15.75" thickBot="1" x14ac:dyDescent="0.3">
      <c r="A1" s="642"/>
      <c r="B1" s="642"/>
      <c r="C1" s="642"/>
      <c r="D1" s="642"/>
      <c r="E1" s="642"/>
    </row>
    <row r="2" spans="1:14" s="451" customFormat="1" ht="15" customHeight="1" x14ac:dyDescent="0.25">
      <c r="A2" s="652"/>
      <c r="B2" s="643" t="s">
        <v>31</v>
      </c>
      <c r="C2" s="643"/>
      <c r="D2" s="643"/>
      <c r="E2" s="643"/>
      <c r="F2" s="643"/>
      <c r="G2" s="643"/>
      <c r="H2" s="643"/>
      <c r="I2" s="643"/>
      <c r="J2" s="643"/>
      <c r="K2" s="643"/>
      <c r="L2" s="644"/>
    </row>
    <row r="3" spans="1:14" s="451" customFormat="1" ht="15" customHeight="1" x14ac:dyDescent="0.25">
      <c r="A3" s="653"/>
      <c r="B3" s="645" t="s">
        <v>447</v>
      </c>
      <c r="C3" s="646"/>
      <c r="D3" s="646"/>
      <c r="E3" s="646"/>
      <c r="F3" s="646"/>
      <c r="G3" s="646"/>
      <c r="H3" s="646"/>
      <c r="I3" s="647"/>
      <c r="J3" s="648" t="s">
        <v>448</v>
      </c>
      <c r="K3" s="648" t="s">
        <v>449</v>
      </c>
      <c r="L3" s="650" t="s">
        <v>140</v>
      </c>
    </row>
    <row r="4" spans="1:14" s="451" customFormat="1" ht="42.75" x14ac:dyDescent="0.25">
      <c r="A4" s="654"/>
      <c r="B4" s="501" t="s">
        <v>1</v>
      </c>
      <c r="C4" s="501" t="s">
        <v>43</v>
      </c>
      <c r="D4" s="501" t="s">
        <v>44</v>
      </c>
      <c r="E4" s="501" t="s">
        <v>45</v>
      </c>
      <c r="F4" s="304" t="s">
        <v>221</v>
      </c>
      <c r="G4" s="304" t="s">
        <v>222</v>
      </c>
      <c r="H4" s="304" t="s">
        <v>224</v>
      </c>
      <c r="I4" s="304" t="s">
        <v>223</v>
      </c>
      <c r="J4" s="649"/>
      <c r="K4" s="649"/>
      <c r="L4" s="651"/>
    </row>
    <row r="5" spans="1:14" s="451" customFormat="1" x14ac:dyDescent="0.25">
      <c r="A5" s="494" t="s">
        <v>96</v>
      </c>
      <c r="B5" s="502">
        <v>304473</v>
      </c>
      <c r="C5" s="503"/>
      <c r="D5" s="503"/>
      <c r="E5" s="503"/>
      <c r="F5" s="504"/>
      <c r="G5" s="504"/>
      <c r="H5" s="310"/>
      <c r="I5" s="310"/>
      <c r="J5" s="505">
        <v>260512</v>
      </c>
      <c r="K5" s="505">
        <f>B5-J5</f>
        <v>43961</v>
      </c>
      <c r="L5" s="506">
        <f>((B5/J5)^(1/14))-1</f>
        <v>1.1200365919388E-2</v>
      </c>
    </row>
    <row r="6" spans="1:14" s="451" customFormat="1" x14ac:dyDescent="0.25">
      <c r="A6" s="494" t="s">
        <v>103</v>
      </c>
      <c r="B6" s="502">
        <v>229877.11500000002</v>
      </c>
      <c r="C6" s="503"/>
      <c r="D6" s="503"/>
      <c r="E6" s="503"/>
      <c r="F6" s="504">
        <f>B6/B5</f>
        <v>0.75500000000000012</v>
      </c>
      <c r="G6" s="504"/>
      <c r="H6" s="310"/>
      <c r="I6" s="310"/>
      <c r="J6" s="505">
        <v>195286</v>
      </c>
      <c r="K6" s="505">
        <f>B6-J6</f>
        <v>34591.11500000002</v>
      </c>
      <c r="L6" s="506">
        <f>((B6/J6)^(1/14))-1</f>
        <v>1.1716660927934219E-2</v>
      </c>
      <c r="N6" s="507"/>
    </row>
    <row r="7" spans="1:14" s="451" customFormat="1" x14ac:dyDescent="0.25">
      <c r="A7" s="494" t="s">
        <v>104</v>
      </c>
      <c r="B7" s="502">
        <f>B8-B20</f>
        <v>146368.94899999999</v>
      </c>
      <c r="C7" s="503"/>
      <c r="D7" s="503"/>
      <c r="E7" s="503"/>
      <c r="F7" s="504">
        <f>B7/B5</f>
        <v>0.48072882981413784</v>
      </c>
      <c r="G7" s="504"/>
      <c r="H7" s="508">
        <f>B7/B6</f>
        <v>0.63672692690614274</v>
      </c>
      <c r="I7" s="310"/>
      <c r="J7" s="310"/>
      <c r="K7" s="310"/>
      <c r="L7" s="509"/>
    </row>
    <row r="8" spans="1:14" ht="15" customHeight="1" x14ac:dyDescent="0.25">
      <c r="A8" s="510" t="s">
        <v>94</v>
      </c>
      <c r="B8" s="511">
        <v>152309</v>
      </c>
      <c r="C8" s="512"/>
      <c r="D8" s="512"/>
      <c r="E8" s="512"/>
      <c r="F8" s="513"/>
      <c r="G8" s="514">
        <f>B8/$B$8</f>
        <v>1</v>
      </c>
      <c r="H8" s="513"/>
      <c r="I8" s="513"/>
      <c r="J8" s="513"/>
      <c r="K8" s="513"/>
      <c r="L8" s="515"/>
    </row>
    <row r="9" spans="1:14" x14ac:dyDescent="0.25">
      <c r="A9" s="510" t="s">
        <v>32</v>
      </c>
      <c r="B9" s="511">
        <v>135250.39199999999</v>
      </c>
      <c r="C9" s="512"/>
      <c r="D9" s="512"/>
      <c r="E9" s="512"/>
      <c r="F9" s="513"/>
      <c r="G9" s="514">
        <f t="shared" ref="G9:G20" si="0">B9/$B$8</f>
        <v>0.8879999999999999</v>
      </c>
      <c r="H9" s="513"/>
      <c r="I9" s="514">
        <f>B9/$B$7</f>
        <v>0.92403746097814776</v>
      </c>
      <c r="J9" s="513"/>
      <c r="K9" s="513"/>
      <c r="L9" s="515"/>
    </row>
    <row r="10" spans="1:14" x14ac:dyDescent="0.25">
      <c r="A10" s="510" t="s">
        <v>33</v>
      </c>
      <c r="B10" s="511">
        <v>120476.41900000001</v>
      </c>
      <c r="C10" s="516">
        <f>B10/$B$21</f>
        <v>0.84689507494646687</v>
      </c>
      <c r="D10" s="485"/>
      <c r="E10" s="512"/>
      <c r="F10" s="513"/>
      <c r="G10" s="514">
        <f t="shared" si="0"/>
        <v>0.79100000000000004</v>
      </c>
      <c r="H10" s="513"/>
      <c r="I10" s="514">
        <f t="shared" ref="I10:I19" si="1">B10/$B$7</f>
        <v>0.82310093652445382</v>
      </c>
      <c r="J10" s="513"/>
      <c r="K10" s="513"/>
      <c r="L10" s="515"/>
    </row>
    <row r="11" spans="1:14" x14ac:dyDescent="0.25">
      <c r="A11" s="510" t="s">
        <v>34</v>
      </c>
      <c r="B11" s="511">
        <v>14773.973</v>
      </c>
      <c r="C11" s="512"/>
      <c r="D11" s="516">
        <f>B11/B21</f>
        <v>0.1038543897216274</v>
      </c>
      <c r="E11" s="512"/>
      <c r="F11" s="513"/>
      <c r="G11" s="514">
        <f t="shared" si="0"/>
        <v>9.7000000000000003E-2</v>
      </c>
      <c r="H11" s="513"/>
      <c r="I11" s="514">
        <f t="shared" si="1"/>
        <v>0.10093652445369407</v>
      </c>
      <c r="J11" s="513"/>
      <c r="K11" s="513"/>
      <c r="L11" s="515"/>
    </row>
    <row r="12" spans="1:14" x14ac:dyDescent="0.25">
      <c r="A12" s="510" t="s">
        <v>35</v>
      </c>
      <c r="B12" s="511">
        <v>12184.72</v>
      </c>
      <c r="C12" s="512"/>
      <c r="D12" s="516">
        <f>B12/$B$21</f>
        <v>8.5653104925053528E-2</v>
      </c>
      <c r="E12" s="512"/>
      <c r="F12" s="513"/>
      <c r="G12" s="514">
        <f t="shared" si="0"/>
        <v>0.08</v>
      </c>
      <c r="H12" s="513"/>
      <c r="I12" s="514">
        <f t="shared" si="1"/>
        <v>8.3246618106139439E-2</v>
      </c>
      <c r="J12" s="513"/>
      <c r="K12" s="513"/>
      <c r="L12" s="515"/>
    </row>
    <row r="13" spans="1:14" x14ac:dyDescent="0.25">
      <c r="A13" s="510" t="s">
        <v>36</v>
      </c>
      <c r="B13" s="511">
        <v>1827.7080000000001</v>
      </c>
      <c r="C13" s="512"/>
      <c r="D13" s="516">
        <f>B13/$B$21</f>
        <v>1.284796573875803E-2</v>
      </c>
      <c r="E13" s="512"/>
      <c r="F13" s="513"/>
      <c r="G13" s="514">
        <f t="shared" si="0"/>
        <v>1.2E-2</v>
      </c>
      <c r="H13" s="513"/>
      <c r="I13" s="514">
        <f t="shared" si="1"/>
        <v>1.2486992715920917E-2</v>
      </c>
      <c r="J13" s="513"/>
      <c r="K13" s="513"/>
      <c r="L13" s="515"/>
    </row>
    <row r="14" spans="1:14" x14ac:dyDescent="0.25">
      <c r="A14" s="510" t="s">
        <v>427</v>
      </c>
      <c r="B14" s="511">
        <v>913.85400000000004</v>
      </c>
      <c r="C14" s="512"/>
      <c r="D14" s="516">
        <f>B14/$B$21</f>
        <v>6.4239828693790149E-3</v>
      </c>
      <c r="E14" s="512"/>
      <c r="F14" s="513"/>
      <c r="G14" s="514">
        <f t="shared" si="0"/>
        <v>6.0000000000000001E-3</v>
      </c>
      <c r="H14" s="513"/>
      <c r="I14" s="514">
        <f t="shared" si="1"/>
        <v>6.2434963579604584E-3</v>
      </c>
      <c r="J14" s="513"/>
      <c r="K14" s="513"/>
      <c r="L14" s="515"/>
    </row>
    <row r="15" spans="1:14" ht="15" customHeight="1" x14ac:dyDescent="0.25">
      <c r="A15" s="510" t="s">
        <v>37</v>
      </c>
      <c r="B15" s="511">
        <v>2893.8710000000001</v>
      </c>
      <c r="C15" s="512"/>
      <c r="D15" s="516"/>
      <c r="E15" s="512"/>
      <c r="F15" s="513"/>
      <c r="G15" s="514">
        <f t="shared" si="0"/>
        <v>1.9E-2</v>
      </c>
      <c r="H15" s="513"/>
      <c r="I15" s="514">
        <f t="shared" si="1"/>
        <v>1.977107180020812E-2</v>
      </c>
      <c r="J15" s="513"/>
      <c r="K15" s="513"/>
      <c r="L15" s="515"/>
    </row>
    <row r="16" spans="1:14" x14ac:dyDescent="0.25">
      <c r="A16" s="510" t="s">
        <v>38</v>
      </c>
      <c r="B16" s="511">
        <v>1066.163</v>
      </c>
      <c r="C16" s="512"/>
      <c r="D16" s="516">
        <f>B16/$B$21</f>
        <v>7.4946466809421844E-3</v>
      </c>
      <c r="E16" s="512"/>
      <c r="F16" s="513"/>
      <c r="G16" s="514">
        <f t="shared" si="0"/>
        <v>7.0000000000000001E-3</v>
      </c>
      <c r="H16" s="513"/>
      <c r="I16" s="514">
        <f t="shared" si="1"/>
        <v>7.2840790842872011E-3</v>
      </c>
      <c r="J16" s="513"/>
      <c r="K16" s="513"/>
      <c r="L16" s="515"/>
    </row>
    <row r="17" spans="1:12" x14ac:dyDescent="0.25">
      <c r="A17" s="510" t="s">
        <v>39</v>
      </c>
      <c r="B17" s="511">
        <v>5940.0510000000004</v>
      </c>
      <c r="C17" s="512"/>
      <c r="D17" s="516">
        <f>B17/$B$21</f>
        <v>4.17558886509636E-2</v>
      </c>
      <c r="E17" s="512"/>
      <c r="F17" s="513"/>
      <c r="G17" s="514">
        <f t="shared" si="0"/>
        <v>3.9E-2</v>
      </c>
      <c r="H17" s="513"/>
      <c r="I17" s="514">
        <f t="shared" si="1"/>
        <v>4.0582726326742979E-2</v>
      </c>
      <c r="J17" s="513"/>
      <c r="K17" s="513"/>
      <c r="L17" s="515"/>
    </row>
    <row r="18" spans="1:12" x14ac:dyDescent="0.25">
      <c r="A18" s="510" t="s">
        <v>40</v>
      </c>
      <c r="B18" s="511">
        <v>1370.7809999999999</v>
      </c>
      <c r="C18" s="512"/>
      <c r="D18" s="516"/>
      <c r="E18" s="512"/>
      <c r="F18" s="513"/>
      <c r="G18" s="514">
        <f t="shared" si="0"/>
        <v>8.9999999999999993E-3</v>
      </c>
      <c r="H18" s="513"/>
      <c r="I18" s="514">
        <f t="shared" si="1"/>
        <v>9.3652445369406864E-3</v>
      </c>
      <c r="J18" s="513"/>
      <c r="K18" s="513"/>
      <c r="L18" s="515"/>
    </row>
    <row r="19" spans="1:12" x14ac:dyDescent="0.25">
      <c r="A19" s="510" t="s">
        <v>41</v>
      </c>
      <c r="B19" s="511">
        <v>5787.7420000000002</v>
      </c>
      <c r="C19" s="512"/>
      <c r="D19" s="516"/>
      <c r="E19" s="512"/>
      <c r="F19" s="513"/>
      <c r="G19" s="514">
        <f t="shared" si="0"/>
        <v>3.7999999999999999E-2</v>
      </c>
      <c r="H19" s="513"/>
      <c r="I19" s="514">
        <f t="shared" si="1"/>
        <v>3.9542143600416239E-2</v>
      </c>
      <c r="J19" s="513"/>
      <c r="K19" s="513"/>
      <c r="L19" s="515"/>
    </row>
    <row r="20" spans="1:12" x14ac:dyDescent="0.25">
      <c r="A20" s="510" t="s">
        <v>42</v>
      </c>
      <c r="B20" s="511">
        <v>5940.0510000000004</v>
      </c>
      <c r="C20" s="512"/>
      <c r="D20" s="512"/>
      <c r="E20" s="512"/>
      <c r="F20" s="513"/>
      <c r="G20" s="514">
        <f t="shared" si="0"/>
        <v>3.9E-2</v>
      </c>
      <c r="H20" s="513"/>
      <c r="I20" s="513"/>
      <c r="J20" s="513"/>
      <c r="K20" s="513"/>
      <c r="L20" s="515"/>
    </row>
    <row r="21" spans="1:12" x14ac:dyDescent="0.25">
      <c r="A21" s="510"/>
      <c r="B21" s="511">
        <f>SUM(B17,B16,B9)</f>
        <v>142256.606</v>
      </c>
      <c r="C21" s="512"/>
      <c r="D21" s="512"/>
      <c r="E21" s="512"/>
      <c r="F21" s="513"/>
      <c r="G21" s="513"/>
      <c r="H21" s="513"/>
      <c r="I21" s="513"/>
      <c r="J21" s="513"/>
      <c r="K21" s="513"/>
      <c r="L21" s="515"/>
    </row>
    <row r="22" spans="1:12" x14ac:dyDescent="0.25">
      <c r="A22" s="510" t="s">
        <v>48</v>
      </c>
      <c r="B22" s="517">
        <v>0.78900000000000003</v>
      </c>
      <c r="C22" s="517">
        <v>0.81</v>
      </c>
      <c r="D22" s="517">
        <v>0.66600000000000004</v>
      </c>
      <c r="E22" s="517">
        <v>0.38400000000000001</v>
      </c>
      <c r="F22" s="513"/>
      <c r="G22" s="513"/>
      <c r="H22" s="513"/>
      <c r="I22" s="513"/>
      <c r="J22" s="513"/>
      <c r="K22" s="513"/>
      <c r="L22" s="515"/>
    </row>
    <row r="23" spans="1:12" x14ac:dyDescent="0.25">
      <c r="A23" s="510" t="s">
        <v>95</v>
      </c>
      <c r="B23" s="518">
        <f>1-B22</f>
        <v>0.21099999999999997</v>
      </c>
      <c r="C23" s="519">
        <f>1-C22</f>
        <v>0.18999999999999995</v>
      </c>
      <c r="D23" s="519">
        <f>1-D22</f>
        <v>0.33399999999999996</v>
      </c>
      <c r="E23" s="519">
        <f>1-E22</f>
        <v>0.61599999999999999</v>
      </c>
      <c r="F23" s="513"/>
      <c r="G23" s="513"/>
      <c r="H23" s="513"/>
      <c r="I23" s="513"/>
      <c r="J23" s="513"/>
      <c r="K23" s="513"/>
      <c r="L23" s="515"/>
    </row>
    <row r="24" spans="1:12" x14ac:dyDescent="0.25">
      <c r="A24" s="510" t="s">
        <v>47</v>
      </c>
      <c r="B24" s="519" t="s">
        <v>47</v>
      </c>
      <c r="C24" s="519" t="s">
        <v>47</v>
      </c>
      <c r="D24" s="519" t="s">
        <v>47</v>
      </c>
      <c r="E24" s="519" t="s">
        <v>47</v>
      </c>
      <c r="F24" s="513"/>
      <c r="G24" s="513"/>
      <c r="H24" s="513"/>
      <c r="I24" s="513"/>
      <c r="J24" s="513"/>
      <c r="K24" s="513"/>
      <c r="L24" s="515"/>
    </row>
    <row r="25" spans="1:12" ht="15" customHeight="1" x14ac:dyDescent="0.25">
      <c r="A25" s="510" t="s">
        <v>49</v>
      </c>
      <c r="B25" s="517">
        <v>6.5000000000000002E-2</v>
      </c>
      <c r="C25" s="517">
        <v>0.05</v>
      </c>
      <c r="D25" s="517">
        <v>0.20100000000000001</v>
      </c>
      <c r="E25" s="517">
        <v>4.7E-2</v>
      </c>
      <c r="F25" s="513"/>
      <c r="G25" s="513"/>
      <c r="H25" s="513"/>
      <c r="I25" s="513"/>
      <c r="J25" s="513"/>
      <c r="K25" s="513"/>
      <c r="L25" s="515"/>
    </row>
    <row r="26" spans="1:12" x14ac:dyDescent="0.25">
      <c r="A26" s="510" t="s">
        <v>47</v>
      </c>
      <c r="B26" s="519" t="s">
        <v>47</v>
      </c>
      <c r="C26" s="519" t="s">
        <v>47</v>
      </c>
      <c r="D26" s="519" t="s">
        <v>47</v>
      </c>
      <c r="E26" s="519" t="s">
        <v>47</v>
      </c>
      <c r="F26" s="513"/>
      <c r="G26" s="513"/>
      <c r="H26" s="513"/>
      <c r="I26" s="513"/>
      <c r="J26" s="513"/>
      <c r="K26" s="513"/>
      <c r="L26" s="515"/>
    </row>
    <row r="27" spans="1:12" ht="15" customHeight="1" x14ac:dyDescent="0.25">
      <c r="A27" s="510" t="s">
        <v>50</v>
      </c>
      <c r="B27" s="519" t="s">
        <v>47</v>
      </c>
      <c r="C27" s="519" t="s">
        <v>47</v>
      </c>
      <c r="D27" s="519" t="s">
        <v>47</v>
      </c>
      <c r="E27" s="519" t="s">
        <v>47</v>
      </c>
      <c r="F27" s="513"/>
      <c r="G27" s="513"/>
      <c r="H27" s="513"/>
      <c r="I27" s="513"/>
      <c r="J27" s="513"/>
      <c r="K27" s="513"/>
      <c r="L27" s="515"/>
    </row>
    <row r="28" spans="1:12" ht="15" customHeight="1" x14ac:dyDescent="0.25">
      <c r="A28" s="510" t="s">
        <v>51</v>
      </c>
      <c r="B28" s="511">
        <v>152300</v>
      </c>
      <c r="C28" s="511">
        <v>120472</v>
      </c>
      <c r="D28" s="511">
        <v>14798</v>
      </c>
      <c r="E28" s="511">
        <v>2822</v>
      </c>
      <c r="F28" s="513"/>
      <c r="G28" s="513"/>
      <c r="H28" s="513"/>
      <c r="I28" s="513"/>
      <c r="J28" s="513"/>
      <c r="K28" s="513"/>
      <c r="L28" s="515"/>
    </row>
    <row r="29" spans="1:12" x14ac:dyDescent="0.25">
      <c r="A29" s="510" t="s">
        <v>52</v>
      </c>
      <c r="B29" s="517">
        <v>0.16400000000000001</v>
      </c>
      <c r="C29" s="517">
        <v>0.13900000000000001</v>
      </c>
      <c r="D29" s="517">
        <v>0.20699999999999999</v>
      </c>
      <c r="E29" s="517">
        <v>0.32300000000000001</v>
      </c>
      <c r="F29" s="513"/>
      <c r="G29" s="513"/>
      <c r="H29" s="513"/>
      <c r="I29" s="513"/>
      <c r="J29" s="513"/>
      <c r="K29" s="513"/>
      <c r="L29" s="515"/>
    </row>
    <row r="30" spans="1:12" x14ac:dyDescent="0.25">
      <c r="A30" s="510" t="s">
        <v>53</v>
      </c>
      <c r="B30" s="517">
        <v>8.6999999999999994E-2</v>
      </c>
      <c r="C30" s="517">
        <v>8.1000000000000003E-2</v>
      </c>
      <c r="D30" s="517">
        <v>9.9000000000000005E-2</v>
      </c>
      <c r="E30" s="517">
        <v>0.20200000000000001</v>
      </c>
      <c r="F30" s="513"/>
      <c r="G30" s="513"/>
      <c r="H30" s="513"/>
      <c r="I30" s="513"/>
      <c r="J30" s="513"/>
      <c r="K30" s="513"/>
      <c r="L30" s="515"/>
    </row>
    <row r="31" spans="1:12" x14ac:dyDescent="0.25">
      <c r="A31" s="510" t="s">
        <v>54</v>
      </c>
      <c r="B31" s="517">
        <v>0.16</v>
      </c>
      <c r="C31" s="517">
        <v>0.14899999999999999</v>
      </c>
      <c r="D31" s="517">
        <v>0.214</v>
      </c>
      <c r="E31" s="517">
        <v>0.28199999999999997</v>
      </c>
      <c r="F31" s="513"/>
      <c r="G31" s="513"/>
      <c r="H31" s="513"/>
      <c r="I31" s="513"/>
      <c r="J31" s="513"/>
      <c r="K31" s="513"/>
      <c r="L31" s="515"/>
    </row>
    <row r="32" spans="1:12" x14ac:dyDescent="0.25">
      <c r="A32" s="510" t="s">
        <v>55</v>
      </c>
      <c r="B32" s="517">
        <v>0.14000000000000001</v>
      </c>
      <c r="C32" s="517">
        <v>0.14499999999999999</v>
      </c>
      <c r="D32" s="517">
        <v>0.14499999999999999</v>
      </c>
      <c r="E32" s="517">
        <v>0.11899999999999999</v>
      </c>
      <c r="F32" s="513"/>
      <c r="G32" s="513"/>
      <c r="H32" s="513"/>
      <c r="I32" s="513"/>
      <c r="J32" s="513"/>
      <c r="K32" s="513"/>
      <c r="L32" s="515"/>
    </row>
    <row r="33" spans="1:12" x14ac:dyDescent="0.25">
      <c r="A33" s="510" t="s">
        <v>56</v>
      </c>
      <c r="B33" s="517">
        <v>0.14899999999999999</v>
      </c>
      <c r="C33" s="517">
        <v>0.16200000000000001</v>
      </c>
      <c r="D33" s="517">
        <v>0.14199999999999999</v>
      </c>
      <c r="E33" s="517">
        <v>2.8000000000000001E-2</v>
      </c>
      <c r="F33" s="513"/>
      <c r="G33" s="513"/>
      <c r="H33" s="513"/>
      <c r="I33" s="513"/>
      <c r="J33" s="513"/>
      <c r="K33" s="513"/>
      <c r="L33" s="515"/>
    </row>
    <row r="34" spans="1:12" x14ac:dyDescent="0.25">
      <c r="A34" s="510" t="s">
        <v>57</v>
      </c>
      <c r="B34" s="517">
        <v>0.106</v>
      </c>
      <c r="C34" s="517">
        <v>0.115</v>
      </c>
      <c r="D34" s="517">
        <v>8.8999999999999996E-2</v>
      </c>
      <c r="E34" s="517">
        <v>1.0999999999999999E-2</v>
      </c>
      <c r="F34" s="513"/>
      <c r="G34" s="513"/>
      <c r="H34" s="513"/>
      <c r="I34" s="513"/>
      <c r="J34" s="513"/>
      <c r="K34" s="513"/>
      <c r="L34" s="515"/>
    </row>
    <row r="35" spans="1:12" x14ac:dyDescent="0.25">
      <c r="A35" s="510" t="s">
        <v>58</v>
      </c>
      <c r="B35" s="517">
        <v>4.5999999999999999E-2</v>
      </c>
      <c r="C35" s="517">
        <v>0.05</v>
      </c>
      <c r="D35" s="517">
        <v>0.03</v>
      </c>
      <c r="E35" s="517">
        <v>8.9999999999999993E-3</v>
      </c>
      <c r="F35" s="513"/>
      <c r="G35" s="513"/>
      <c r="H35" s="513"/>
      <c r="I35" s="513"/>
      <c r="J35" s="513"/>
      <c r="K35" s="513"/>
      <c r="L35" s="515"/>
    </row>
    <row r="36" spans="1:12" x14ac:dyDescent="0.25">
      <c r="A36" s="510" t="s">
        <v>59</v>
      </c>
      <c r="B36" s="517">
        <v>0.14799999999999999</v>
      </c>
      <c r="C36" s="517">
        <v>0.16</v>
      </c>
      <c r="D36" s="517">
        <v>7.3999999999999996E-2</v>
      </c>
      <c r="E36" s="517">
        <v>2.7E-2</v>
      </c>
      <c r="F36" s="513"/>
      <c r="G36" s="513"/>
      <c r="H36" s="513"/>
      <c r="I36" s="513"/>
      <c r="J36" s="513"/>
      <c r="K36" s="513"/>
      <c r="L36" s="515"/>
    </row>
    <row r="37" spans="1:12" x14ac:dyDescent="0.25">
      <c r="A37" s="510" t="s">
        <v>47</v>
      </c>
      <c r="B37" s="519" t="s">
        <v>47</v>
      </c>
      <c r="C37" s="519" t="s">
        <v>47</v>
      </c>
      <c r="D37" s="519" t="s">
        <v>47</v>
      </c>
      <c r="E37" s="519" t="s">
        <v>47</v>
      </c>
      <c r="F37" s="513"/>
      <c r="G37" s="513"/>
      <c r="H37" s="513"/>
      <c r="I37" s="513"/>
      <c r="J37" s="513"/>
      <c r="K37" s="513"/>
      <c r="L37" s="515"/>
    </row>
    <row r="38" spans="1:12" x14ac:dyDescent="0.25">
      <c r="A38" s="510" t="s">
        <v>60</v>
      </c>
      <c r="B38" s="511">
        <v>31123</v>
      </c>
      <c r="C38" s="511">
        <v>33743</v>
      </c>
      <c r="D38" s="511">
        <v>23294</v>
      </c>
      <c r="E38" s="511">
        <v>14011</v>
      </c>
      <c r="F38" s="513"/>
      <c r="G38" s="513"/>
      <c r="H38" s="513"/>
      <c r="I38" s="513"/>
      <c r="J38" s="513"/>
      <c r="K38" s="513"/>
      <c r="L38" s="515"/>
    </row>
    <row r="39" spans="1:12" x14ac:dyDescent="0.25">
      <c r="A39" s="510" t="s">
        <v>47</v>
      </c>
      <c r="B39" s="519" t="s">
        <v>47</v>
      </c>
      <c r="C39" s="519" t="s">
        <v>47</v>
      </c>
      <c r="D39" s="519" t="s">
        <v>47</v>
      </c>
      <c r="E39" s="519" t="s">
        <v>47</v>
      </c>
      <c r="F39" s="513"/>
      <c r="G39" s="513"/>
      <c r="H39" s="513"/>
      <c r="I39" s="513"/>
      <c r="J39" s="513"/>
      <c r="K39" s="513"/>
      <c r="L39" s="515"/>
    </row>
    <row r="40" spans="1:12" ht="15" customHeight="1" x14ac:dyDescent="0.25">
      <c r="A40" s="510" t="s">
        <v>61</v>
      </c>
      <c r="B40" s="519" t="s">
        <v>47</v>
      </c>
      <c r="C40" s="519" t="s">
        <v>47</v>
      </c>
      <c r="D40" s="519" t="s">
        <v>47</v>
      </c>
      <c r="E40" s="519" t="s">
        <v>47</v>
      </c>
      <c r="F40" s="513"/>
      <c r="G40" s="513"/>
      <c r="H40" s="513"/>
      <c r="I40" s="513"/>
      <c r="J40" s="513"/>
      <c r="K40" s="513"/>
      <c r="L40" s="515"/>
    </row>
    <row r="41" spans="1:12" ht="15" customHeight="1" x14ac:dyDescent="0.25">
      <c r="A41" s="510" t="s">
        <v>62</v>
      </c>
      <c r="B41" s="511">
        <v>150126</v>
      </c>
      <c r="C41" s="511">
        <v>119735</v>
      </c>
      <c r="D41" s="511">
        <v>14738</v>
      </c>
      <c r="E41" s="511">
        <v>2751</v>
      </c>
      <c r="F41" s="513"/>
      <c r="G41" s="513"/>
      <c r="H41" s="513"/>
      <c r="I41" s="513"/>
      <c r="J41" s="513"/>
      <c r="K41" s="513"/>
      <c r="L41" s="515"/>
    </row>
    <row r="42" spans="1:12" ht="15" customHeight="1" x14ac:dyDescent="0.25">
      <c r="A42" s="510" t="s">
        <v>63</v>
      </c>
      <c r="B42" s="517">
        <v>0.115</v>
      </c>
      <c r="C42" s="517">
        <v>9.8000000000000004E-2</v>
      </c>
      <c r="D42" s="517">
        <v>0.14699999999999999</v>
      </c>
      <c r="E42" s="517">
        <v>0.33200000000000002</v>
      </c>
      <c r="F42" s="513"/>
      <c r="G42" s="513"/>
      <c r="H42" s="513"/>
      <c r="I42" s="513"/>
      <c r="J42" s="513"/>
      <c r="K42" s="513"/>
      <c r="L42" s="515"/>
    </row>
    <row r="43" spans="1:12" ht="15" customHeight="1" x14ac:dyDescent="0.25">
      <c r="A43" s="510" t="s">
        <v>64</v>
      </c>
      <c r="B43" s="517">
        <v>7.9000000000000001E-2</v>
      </c>
      <c r="C43" s="517">
        <v>6.7000000000000004E-2</v>
      </c>
      <c r="D43" s="517">
        <v>0.112</v>
      </c>
      <c r="E43" s="517">
        <v>0.23</v>
      </c>
      <c r="F43" s="513"/>
      <c r="G43" s="513"/>
      <c r="H43" s="513"/>
      <c r="I43" s="513"/>
      <c r="J43" s="513"/>
      <c r="K43" s="513"/>
      <c r="L43" s="515"/>
    </row>
    <row r="44" spans="1:12" ht="15" customHeight="1" x14ac:dyDescent="0.25">
      <c r="A44" s="510" t="s">
        <v>65</v>
      </c>
      <c r="B44" s="517">
        <v>0.80600000000000005</v>
      </c>
      <c r="C44" s="517">
        <v>0.83499999999999996</v>
      </c>
      <c r="D44" s="517">
        <v>0.74099999999999999</v>
      </c>
      <c r="E44" s="517">
        <v>0.438</v>
      </c>
      <c r="F44" s="513"/>
      <c r="G44" s="513"/>
      <c r="H44" s="513"/>
      <c r="I44" s="513"/>
      <c r="J44" s="513"/>
      <c r="K44" s="513"/>
      <c r="L44" s="515"/>
    </row>
    <row r="45" spans="1:12" x14ac:dyDescent="0.25">
      <c r="A45" s="510" t="s">
        <v>47</v>
      </c>
      <c r="B45" s="519" t="s">
        <v>47</v>
      </c>
      <c r="C45" s="519" t="s">
        <v>47</v>
      </c>
      <c r="D45" s="519" t="s">
        <v>47</v>
      </c>
      <c r="E45" s="519" t="s">
        <v>47</v>
      </c>
      <c r="F45" s="513"/>
      <c r="G45" s="513"/>
      <c r="H45" s="513"/>
      <c r="I45" s="513"/>
      <c r="J45" s="513"/>
      <c r="K45" s="513"/>
      <c r="L45" s="515"/>
    </row>
    <row r="46" spans="1:12" x14ac:dyDescent="0.25">
      <c r="A46" s="510" t="s">
        <v>46</v>
      </c>
      <c r="B46" s="511">
        <v>152309</v>
      </c>
      <c r="C46" s="511">
        <v>120481</v>
      </c>
      <c r="D46" s="511">
        <v>14798</v>
      </c>
      <c r="E46" s="511">
        <v>2822</v>
      </c>
      <c r="F46" s="513"/>
      <c r="G46" s="513"/>
      <c r="H46" s="513"/>
      <c r="I46" s="513"/>
      <c r="J46" s="513"/>
      <c r="K46" s="513"/>
      <c r="L46" s="515"/>
    </row>
    <row r="47" spans="1:12" x14ac:dyDescent="0.25">
      <c r="A47" s="510" t="s">
        <v>66</v>
      </c>
      <c r="B47" s="519" t="s">
        <v>47</v>
      </c>
      <c r="C47" s="519" t="s">
        <v>47</v>
      </c>
      <c r="D47" s="519" t="s">
        <v>47</v>
      </c>
      <c r="E47" s="519" t="s">
        <v>47</v>
      </c>
      <c r="F47" s="513"/>
      <c r="G47" s="513"/>
      <c r="H47" s="513"/>
      <c r="I47" s="513"/>
      <c r="J47" s="513"/>
      <c r="K47" s="513"/>
      <c r="L47" s="515"/>
    </row>
    <row r="48" spans="1:12" ht="15" customHeight="1" x14ac:dyDescent="0.25">
      <c r="A48" s="510" t="s">
        <v>67</v>
      </c>
      <c r="B48" s="517">
        <v>0.42699999999999999</v>
      </c>
      <c r="C48" s="517">
        <v>0.44</v>
      </c>
      <c r="D48" s="517">
        <v>0.34899999999999998</v>
      </c>
      <c r="E48" s="517">
        <v>0.17100000000000001</v>
      </c>
      <c r="F48" s="513"/>
      <c r="G48" s="513"/>
      <c r="H48" s="513"/>
      <c r="I48" s="513"/>
      <c r="J48" s="513"/>
      <c r="K48" s="513"/>
      <c r="L48" s="515"/>
    </row>
    <row r="49" spans="1:12" x14ac:dyDescent="0.25">
      <c r="A49" s="510" t="s">
        <v>68</v>
      </c>
      <c r="B49" s="517">
        <v>0.186</v>
      </c>
      <c r="C49" s="517">
        <v>0.16900000000000001</v>
      </c>
      <c r="D49" s="517">
        <v>0.23200000000000001</v>
      </c>
      <c r="E49" s="517">
        <v>0.495</v>
      </c>
      <c r="F49" s="513"/>
      <c r="G49" s="513"/>
      <c r="H49" s="513"/>
      <c r="I49" s="513"/>
      <c r="J49" s="513"/>
      <c r="K49" s="513"/>
      <c r="L49" s="515"/>
    </row>
    <row r="50" spans="1:12" ht="15" customHeight="1" x14ac:dyDescent="0.25">
      <c r="A50" s="510" t="s">
        <v>69</v>
      </c>
      <c r="B50" s="517">
        <v>0.23300000000000001</v>
      </c>
      <c r="C50" s="517">
        <v>0.24</v>
      </c>
      <c r="D50" s="517">
        <v>0.18</v>
      </c>
      <c r="E50" s="517">
        <v>0.219</v>
      </c>
      <c r="F50" s="513"/>
      <c r="G50" s="513"/>
      <c r="H50" s="513"/>
      <c r="I50" s="513"/>
      <c r="J50" s="513"/>
      <c r="K50" s="513"/>
      <c r="L50" s="515"/>
    </row>
    <row r="51" spans="1:12" ht="15" customHeight="1" x14ac:dyDescent="0.25">
      <c r="A51" s="510" t="s">
        <v>70</v>
      </c>
      <c r="B51" s="517">
        <v>6.4000000000000001E-2</v>
      </c>
      <c r="C51" s="517">
        <v>5.8000000000000003E-2</v>
      </c>
      <c r="D51" s="517">
        <v>0.14000000000000001</v>
      </c>
      <c r="E51" s="517">
        <v>2.1000000000000001E-2</v>
      </c>
      <c r="F51" s="513"/>
      <c r="G51" s="513"/>
      <c r="H51" s="513"/>
      <c r="I51" s="513"/>
      <c r="J51" s="513"/>
      <c r="K51" s="513"/>
      <c r="L51" s="515"/>
    </row>
    <row r="52" spans="1:12" ht="15" customHeight="1" x14ac:dyDescent="0.25">
      <c r="A52" s="510" t="s">
        <v>71</v>
      </c>
      <c r="B52" s="517">
        <v>0.09</v>
      </c>
      <c r="C52" s="517">
        <v>9.1999999999999998E-2</v>
      </c>
      <c r="D52" s="517">
        <v>9.9000000000000005E-2</v>
      </c>
      <c r="E52" s="517">
        <v>9.4E-2</v>
      </c>
      <c r="F52" s="513"/>
      <c r="G52" s="513"/>
      <c r="H52" s="513"/>
      <c r="I52" s="513"/>
      <c r="J52" s="513"/>
      <c r="K52" s="513"/>
      <c r="L52" s="515"/>
    </row>
    <row r="53" spans="1:12" ht="15" customHeight="1" x14ac:dyDescent="0.25">
      <c r="A53" s="510" t="s">
        <v>72</v>
      </c>
      <c r="B53" s="517">
        <v>1E-3</v>
      </c>
      <c r="C53" s="517">
        <v>1E-3</v>
      </c>
      <c r="D53" s="517">
        <v>0</v>
      </c>
      <c r="E53" s="517">
        <v>0</v>
      </c>
      <c r="F53" s="513"/>
      <c r="G53" s="513"/>
      <c r="H53" s="513"/>
      <c r="I53" s="513"/>
      <c r="J53" s="513"/>
      <c r="K53" s="513"/>
      <c r="L53" s="515"/>
    </row>
    <row r="54" spans="1:12" x14ac:dyDescent="0.25">
      <c r="A54" s="510" t="s">
        <v>47</v>
      </c>
      <c r="B54" s="519" t="s">
        <v>47</v>
      </c>
      <c r="C54" s="519" t="s">
        <v>47</v>
      </c>
      <c r="D54" s="519" t="s">
        <v>47</v>
      </c>
      <c r="E54" s="519" t="s">
        <v>47</v>
      </c>
      <c r="F54" s="513"/>
      <c r="G54" s="513"/>
      <c r="H54" s="513"/>
      <c r="I54" s="513"/>
      <c r="J54" s="513"/>
      <c r="K54" s="513"/>
      <c r="L54" s="515"/>
    </row>
    <row r="55" spans="1:12" x14ac:dyDescent="0.25">
      <c r="A55" s="510" t="s">
        <v>73</v>
      </c>
      <c r="B55" s="519" t="s">
        <v>47</v>
      </c>
      <c r="C55" s="519" t="s">
        <v>47</v>
      </c>
      <c r="D55" s="519" t="s">
        <v>47</v>
      </c>
      <c r="E55" s="519" t="s">
        <v>47</v>
      </c>
      <c r="F55" s="513"/>
      <c r="G55" s="513"/>
      <c r="H55" s="513"/>
      <c r="I55" s="513"/>
      <c r="J55" s="513"/>
      <c r="K55" s="513"/>
      <c r="L55" s="515"/>
    </row>
    <row r="56" spans="1:12" ht="15" customHeight="1" x14ac:dyDescent="0.25">
      <c r="A56" s="510" t="s">
        <v>74</v>
      </c>
      <c r="B56" s="517">
        <v>2.3E-2</v>
      </c>
      <c r="C56" s="517">
        <v>1.7999999999999999E-2</v>
      </c>
      <c r="D56" s="517">
        <v>6.7000000000000004E-2</v>
      </c>
      <c r="E56" s="517">
        <v>8.9999999999999993E-3</v>
      </c>
      <c r="F56" s="513"/>
      <c r="G56" s="513"/>
      <c r="H56" s="513"/>
      <c r="I56" s="513"/>
      <c r="J56" s="513"/>
      <c r="K56" s="513"/>
      <c r="L56" s="515"/>
    </row>
    <row r="57" spans="1:12" x14ac:dyDescent="0.25">
      <c r="A57" s="510" t="s">
        <v>75</v>
      </c>
      <c r="B57" s="517">
        <v>4.4999999999999998E-2</v>
      </c>
      <c r="C57" s="517">
        <v>4.1000000000000002E-2</v>
      </c>
      <c r="D57" s="517">
        <v>9.2999999999999999E-2</v>
      </c>
      <c r="E57" s="517">
        <v>0.01</v>
      </c>
      <c r="F57" s="513"/>
      <c r="G57" s="513"/>
      <c r="H57" s="513"/>
      <c r="I57" s="513"/>
      <c r="J57" s="513"/>
      <c r="K57" s="513"/>
      <c r="L57" s="515"/>
    </row>
    <row r="58" spans="1:12" x14ac:dyDescent="0.25">
      <c r="A58" s="510" t="s">
        <v>76</v>
      </c>
      <c r="B58" s="517">
        <v>8.5999999999999993E-2</v>
      </c>
      <c r="C58" s="517">
        <v>9.1999999999999998E-2</v>
      </c>
      <c r="D58" s="517">
        <v>6.6000000000000003E-2</v>
      </c>
      <c r="E58" s="517">
        <v>6.3E-2</v>
      </c>
      <c r="F58" s="513"/>
      <c r="G58" s="513"/>
      <c r="H58" s="513"/>
      <c r="I58" s="513"/>
      <c r="J58" s="513"/>
      <c r="K58" s="513"/>
      <c r="L58" s="515"/>
    </row>
    <row r="59" spans="1:12" x14ac:dyDescent="0.25">
      <c r="A59" s="510" t="s">
        <v>77</v>
      </c>
      <c r="B59" s="517">
        <v>2.5000000000000001E-2</v>
      </c>
      <c r="C59" s="517">
        <v>2.5000000000000001E-2</v>
      </c>
      <c r="D59" s="517">
        <v>2.7E-2</v>
      </c>
      <c r="E59" s="517">
        <v>7.0000000000000001E-3</v>
      </c>
      <c r="F59" s="513"/>
      <c r="G59" s="513"/>
      <c r="H59" s="513"/>
      <c r="I59" s="513"/>
      <c r="J59" s="513"/>
      <c r="K59" s="513"/>
      <c r="L59" s="515"/>
    </row>
    <row r="60" spans="1:12" x14ac:dyDescent="0.25">
      <c r="A60" s="510" t="s">
        <v>78</v>
      </c>
      <c r="B60" s="517">
        <v>0.112</v>
      </c>
      <c r="C60" s="517">
        <v>0.114</v>
      </c>
      <c r="D60" s="517">
        <v>9.9000000000000005E-2</v>
      </c>
      <c r="E60" s="517">
        <v>0.115</v>
      </c>
      <c r="F60" s="513"/>
      <c r="G60" s="513"/>
      <c r="H60" s="513"/>
      <c r="I60" s="513"/>
      <c r="J60" s="513"/>
      <c r="K60" s="513"/>
      <c r="L60" s="515"/>
    </row>
    <row r="61" spans="1:12" ht="15" customHeight="1" x14ac:dyDescent="0.25">
      <c r="A61" s="510" t="s">
        <v>79</v>
      </c>
      <c r="B61" s="517">
        <v>3.3000000000000002E-2</v>
      </c>
      <c r="C61" s="517">
        <v>3.5999999999999997E-2</v>
      </c>
      <c r="D61" s="517">
        <v>1.7999999999999999E-2</v>
      </c>
      <c r="E61" s="517">
        <v>7.0000000000000001E-3</v>
      </c>
      <c r="F61" s="513"/>
      <c r="G61" s="513"/>
      <c r="H61" s="513"/>
      <c r="I61" s="513"/>
      <c r="J61" s="513"/>
      <c r="K61" s="513"/>
      <c r="L61" s="515"/>
    </row>
    <row r="62" spans="1:12" ht="15" customHeight="1" x14ac:dyDescent="0.25">
      <c r="A62" s="510" t="s">
        <v>80</v>
      </c>
      <c r="B62" s="517">
        <v>7.1999999999999995E-2</v>
      </c>
      <c r="C62" s="517">
        <v>7.4999999999999997E-2</v>
      </c>
      <c r="D62" s="517">
        <v>4.3999999999999997E-2</v>
      </c>
      <c r="E62" s="517">
        <v>0.05</v>
      </c>
      <c r="F62" s="513"/>
      <c r="G62" s="513"/>
      <c r="H62" s="513"/>
      <c r="I62" s="513"/>
      <c r="J62" s="513"/>
      <c r="K62" s="513"/>
      <c r="L62" s="515"/>
    </row>
    <row r="63" spans="1:12" ht="15" customHeight="1" x14ac:dyDescent="0.25">
      <c r="A63" s="510" t="s">
        <v>81</v>
      </c>
      <c r="B63" s="517">
        <v>0.109</v>
      </c>
      <c r="C63" s="517">
        <v>0.104</v>
      </c>
      <c r="D63" s="517">
        <v>9.6000000000000002E-2</v>
      </c>
      <c r="E63" s="517">
        <v>0.14499999999999999</v>
      </c>
      <c r="F63" s="513"/>
      <c r="G63" s="513"/>
      <c r="H63" s="513"/>
      <c r="I63" s="513"/>
      <c r="J63" s="513"/>
      <c r="K63" s="513"/>
      <c r="L63" s="515"/>
    </row>
    <row r="64" spans="1:12" ht="15" customHeight="1" x14ac:dyDescent="0.25">
      <c r="A64" s="510" t="s">
        <v>82</v>
      </c>
      <c r="B64" s="517">
        <v>0.29899999999999999</v>
      </c>
      <c r="C64" s="517">
        <v>0.29899999999999999</v>
      </c>
      <c r="D64" s="517">
        <v>0.28999999999999998</v>
      </c>
      <c r="E64" s="517">
        <v>0.33500000000000002</v>
      </c>
      <c r="F64" s="513"/>
      <c r="G64" s="513"/>
      <c r="H64" s="513"/>
      <c r="I64" s="513"/>
      <c r="J64" s="513"/>
      <c r="K64" s="513"/>
      <c r="L64" s="515"/>
    </row>
    <row r="65" spans="1:12" ht="15" customHeight="1" x14ac:dyDescent="0.25">
      <c r="A65" s="510" t="s">
        <v>83</v>
      </c>
      <c r="B65" s="517">
        <v>0.111</v>
      </c>
      <c r="C65" s="517">
        <v>0.10199999999999999</v>
      </c>
      <c r="D65" s="517">
        <v>0.13</v>
      </c>
      <c r="E65" s="517">
        <v>0.219</v>
      </c>
      <c r="F65" s="513"/>
      <c r="G65" s="513"/>
      <c r="H65" s="513"/>
      <c r="I65" s="513"/>
      <c r="J65" s="513"/>
      <c r="K65" s="513"/>
      <c r="L65" s="515"/>
    </row>
    <row r="66" spans="1:12" ht="15" customHeight="1" x14ac:dyDescent="0.25">
      <c r="A66" s="510" t="s">
        <v>84</v>
      </c>
      <c r="B66" s="517">
        <v>4.7E-2</v>
      </c>
      <c r="C66" s="517">
        <v>4.9000000000000002E-2</v>
      </c>
      <c r="D66" s="517">
        <v>3.7999999999999999E-2</v>
      </c>
      <c r="E66" s="517">
        <v>2.7E-2</v>
      </c>
      <c r="F66" s="513"/>
      <c r="G66" s="513"/>
      <c r="H66" s="513"/>
      <c r="I66" s="513"/>
      <c r="J66" s="513"/>
      <c r="K66" s="513"/>
      <c r="L66" s="515"/>
    </row>
    <row r="67" spans="1:12" x14ac:dyDescent="0.25">
      <c r="A67" s="510" t="s">
        <v>85</v>
      </c>
      <c r="B67" s="517">
        <v>3.7999999999999999E-2</v>
      </c>
      <c r="C67" s="517">
        <v>4.2000000000000003E-2</v>
      </c>
      <c r="D67" s="517">
        <v>3.2000000000000001E-2</v>
      </c>
      <c r="E67" s="517">
        <v>1.2999999999999999E-2</v>
      </c>
      <c r="F67" s="513"/>
      <c r="G67" s="513"/>
      <c r="H67" s="513"/>
      <c r="I67" s="513"/>
      <c r="J67" s="513"/>
      <c r="K67" s="513"/>
      <c r="L67" s="515"/>
    </row>
    <row r="68" spans="1:12" x14ac:dyDescent="0.25">
      <c r="A68" s="510" t="s">
        <v>86</v>
      </c>
      <c r="B68" s="517">
        <v>1E-3</v>
      </c>
      <c r="C68" s="517">
        <v>1E-3</v>
      </c>
      <c r="D68" s="517">
        <v>0</v>
      </c>
      <c r="E68" s="517">
        <v>0</v>
      </c>
      <c r="F68" s="513"/>
      <c r="G68" s="513"/>
      <c r="H68" s="513"/>
      <c r="I68" s="513"/>
      <c r="J68" s="513"/>
      <c r="K68" s="513"/>
      <c r="L68" s="515"/>
    </row>
    <row r="69" spans="1:12" x14ac:dyDescent="0.25">
      <c r="A69" s="510" t="s">
        <v>47</v>
      </c>
      <c r="B69" s="519" t="s">
        <v>47</v>
      </c>
      <c r="C69" s="519" t="s">
        <v>47</v>
      </c>
      <c r="D69" s="519" t="s">
        <v>47</v>
      </c>
      <c r="E69" s="519" t="s">
        <v>47</v>
      </c>
      <c r="F69" s="513"/>
      <c r="G69" s="513"/>
      <c r="H69" s="513"/>
      <c r="I69" s="513"/>
      <c r="J69" s="513"/>
      <c r="K69" s="513"/>
      <c r="L69" s="515"/>
    </row>
    <row r="70" spans="1:12" x14ac:dyDescent="0.25">
      <c r="A70" s="510" t="s">
        <v>87</v>
      </c>
      <c r="B70" s="519" t="s">
        <v>47</v>
      </c>
      <c r="C70" s="519" t="s">
        <v>47</v>
      </c>
      <c r="D70" s="519" t="s">
        <v>47</v>
      </c>
      <c r="E70" s="519" t="s">
        <v>47</v>
      </c>
      <c r="F70" s="513"/>
      <c r="G70" s="513"/>
      <c r="H70" s="513"/>
      <c r="I70" s="513"/>
      <c r="J70" s="513"/>
      <c r="K70" s="513"/>
      <c r="L70" s="515"/>
    </row>
    <row r="71" spans="1:12" ht="36" customHeight="1" x14ac:dyDescent="0.25">
      <c r="A71" s="510" t="s">
        <v>674</v>
      </c>
      <c r="B71" s="520">
        <v>19.8</v>
      </c>
      <c r="C71" s="520">
        <v>19.600000000000001</v>
      </c>
      <c r="D71" s="520">
        <v>21.6</v>
      </c>
      <c r="E71" s="520">
        <v>33.200000000000003</v>
      </c>
      <c r="F71" s="513"/>
      <c r="G71" s="513"/>
      <c r="H71" s="513"/>
      <c r="I71" s="513"/>
      <c r="J71" s="513"/>
      <c r="K71" s="513"/>
      <c r="L71" s="515"/>
    </row>
    <row r="72" spans="1:12" x14ac:dyDescent="0.25">
      <c r="A72" s="510" t="s">
        <v>47</v>
      </c>
      <c r="B72" s="519" t="s">
        <v>47</v>
      </c>
      <c r="C72" s="519" t="s">
        <v>47</v>
      </c>
      <c r="D72" s="519" t="s">
        <v>47</v>
      </c>
      <c r="E72" s="519" t="s">
        <v>47</v>
      </c>
      <c r="F72" s="513"/>
      <c r="G72" s="513"/>
      <c r="H72" s="513"/>
      <c r="I72" s="513"/>
      <c r="J72" s="513"/>
      <c r="K72" s="513"/>
      <c r="L72" s="515"/>
    </row>
    <row r="73" spans="1:12" x14ac:dyDescent="0.25">
      <c r="A73" s="510" t="s">
        <v>89</v>
      </c>
      <c r="B73" s="519"/>
      <c r="C73" s="519" t="s">
        <v>47</v>
      </c>
      <c r="D73" s="519" t="s">
        <v>47</v>
      </c>
      <c r="E73" s="519" t="s">
        <v>47</v>
      </c>
      <c r="F73" s="513"/>
      <c r="G73" s="513"/>
      <c r="H73" s="513"/>
      <c r="I73" s="513"/>
      <c r="J73" s="513"/>
      <c r="K73" s="513"/>
      <c r="L73" s="515"/>
    </row>
    <row r="74" spans="1:12" x14ac:dyDescent="0.25">
      <c r="A74" s="510" t="s">
        <v>90</v>
      </c>
      <c r="B74" s="517">
        <v>3.4000000000000002E-2</v>
      </c>
      <c r="C74" s="517">
        <v>8.9999999999999993E-3</v>
      </c>
      <c r="D74" s="517">
        <v>7.8E-2</v>
      </c>
      <c r="E74" s="517">
        <v>0.504</v>
      </c>
      <c r="F74" s="513"/>
      <c r="G74" s="513"/>
      <c r="H74" s="513"/>
      <c r="I74" s="513"/>
      <c r="J74" s="513"/>
      <c r="K74" s="513"/>
      <c r="L74" s="515"/>
    </row>
    <row r="75" spans="1:12" x14ac:dyDescent="0.25">
      <c r="A75" s="510" t="s">
        <v>91</v>
      </c>
      <c r="B75" s="517">
        <v>0.247</v>
      </c>
      <c r="C75" s="517">
        <v>0.23499999999999999</v>
      </c>
      <c r="D75" s="517">
        <v>0.28100000000000003</v>
      </c>
      <c r="E75" s="517">
        <v>0.22600000000000001</v>
      </c>
      <c r="F75" s="513"/>
      <c r="G75" s="513"/>
      <c r="H75" s="513"/>
      <c r="I75" s="513"/>
      <c r="J75" s="513"/>
      <c r="K75" s="513"/>
      <c r="L75" s="515"/>
    </row>
    <row r="76" spans="1:12" x14ac:dyDescent="0.25">
      <c r="A76" s="510" t="s">
        <v>92</v>
      </c>
      <c r="B76" s="517">
        <v>0.46300000000000002</v>
      </c>
      <c r="C76" s="517">
        <v>0.48599999999999999</v>
      </c>
      <c r="D76" s="517">
        <v>0.41299999999999998</v>
      </c>
      <c r="E76" s="517">
        <v>0.16200000000000001</v>
      </c>
      <c r="F76" s="513"/>
      <c r="G76" s="513"/>
      <c r="H76" s="513"/>
      <c r="I76" s="513"/>
      <c r="J76" s="513"/>
      <c r="K76" s="513"/>
      <c r="L76" s="515"/>
    </row>
    <row r="77" spans="1:12" ht="15" customHeight="1" x14ac:dyDescent="0.25">
      <c r="A77" s="510" t="s">
        <v>93</v>
      </c>
      <c r="B77" s="517">
        <v>0.25600000000000001</v>
      </c>
      <c r="C77" s="517">
        <v>0.26900000000000002</v>
      </c>
      <c r="D77" s="517">
        <v>0.22800000000000001</v>
      </c>
      <c r="E77" s="517">
        <v>0.108</v>
      </c>
      <c r="F77" s="513"/>
      <c r="G77" s="513"/>
      <c r="H77" s="513"/>
      <c r="I77" s="513"/>
      <c r="J77" s="513"/>
      <c r="K77" s="513"/>
      <c r="L77" s="515"/>
    </row>
    <row r="78" spans="1:12" ht="15.75" thickBot="1" x14ac:dyDescent="0.3">
      <c r="A78" s="521" t="s">
        <v>47</v>
      </c>
      <c r="B78" s="522" t="s">
        <v>47</v>
      </c>
      <c r="C78" s="522" t="s">
        <v>47</v>
      </c>
      <c r="D78" s="522" t="s">
        <v>47</v>
      </c>
      <c r="E78" s="522" t="s">
        <v>47</v>
      </c>
      <c r="F78" s="523"/>
      <c r="G78" s="523"/>
      <c r="H78" s="523"/>
      <c r="I78" s="523"/>
      <c r="J78" s="523"/>
      <c r="K78" s="523"/>
      <c r="L78" s="524"/>
    </row>
    <row r="80" spans="1:12" ht="46.5" customHeight="1" x14ac:dyDescent="0.25">
      <c r="A80" s="641" t="s">
        <v>675</v>
      </c>
      <c r="B80" s="641"/>
      <c r="C80" s="641"/>
      <c r="D80" s="641"/>
      <c r="E80" s="641"/>
    </row>
  </sheetData>
  <sheetProtection password="891C" sheet="1" objects="1" scenarios="1"/>
  <mergeCells count="8">
    <mergeCell ref="A80:E80"/>
    <mergeCell ref="A1:E1"/>
    <mergeCell ref="B2:L2"/>
    <mergeCell ref="B3:I3"/>
    <mergeCell ref="J3:J4"/>
    <mergeCell ref="K3:K4"/>
    <mergeCell ref="L3:L4"/>
    <mergeCell ref="A2:A4"/>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C33" sqref="C33"/>
    </sheetView>
  </sheetViews>
  <sheetFormatPr defaultRowHeight="15" x14ac:dyDescent="0.25"/>
  <cols>
    <col min="1" max="1" width="65.85546875" style="450" customWidth="1"/>
    <col min="2" max="4" width="14.7109375" style="450" customWidth="1"/>
    <col min="5" max="5" width="14.7109375" style="485" customWidth="1"/>
    <col min="6" max="6" width="2.7109375" style="450" hidden="1" customWidth="1"/>
    <col min="7" max="8" width="14.7109375" style="491" hidden="1" customWidth="1"/>
    <col min="9" max="10" width="14.7109375" style="450" hidden="1" customWidth="1"/>
    <col min="11" max="16384" width="9.140625" style="450"/>
  </cols>
  <sheetData>
    <row r="1" spans="1:12" ht="15.75" thickBot="1" x14ac:dyDescent="0.3"/>
    <row r="2" spans="1:12" s="451" customFormat="1" ht="18" customHeight="1" x14ac:dyDescent="0.25">
      <c r="A2" s="652" t="s">
        <v>679</v>
      </c>
      <c r="B2" s="657" t="s">
        <v>126</v>
      </c>
      <c r="C2" s="657"/>
      <c r="D2" s="657"/>
      <c r="E2" s="658"/>
      <c r="F2" s="531"/>
      <c r="G2" s="655" t="s">
        <v>114</v>
      </c>
      <c r="H2" s="655"/>
      <c r="I2" s="655"/>
      <c r="J2" s="656"/>
    </row>
    <row r="3" spans="1:12" s="451" customFormat="1" ht="45" customHeight="1" x14ac:dyDescent="0.25">
      <c r="A3" s="654"/>
      <c r="B3" s="304" t="s">
        <v>112</v>
      </c>
      <c r="C3" s="304" t="s">
        <v>101</v>
      </c>
      <c r="D3" s="304" t="s">
        <v>117</v>
      </c>
      <c r="E3" s="509" t="s">
        <v>125</v>
      </c>
      <c r="F3" s="367"/>
      <c r="G3" s="304" t="s">
        <v>112</v>
      </c>
      <c r="H3" s="304" t="s">
        <v>101</v>
      </c>
      <c r="I3" s="304" t="s">
        <v>117</v>
      </c>
      <c r="J3" s="509" t="s">
        <v>125</v>
      </c>
    </row>
    <row r="4" spans="1:12" x14ac:dyDescent="0.25">
      <c r="A4" s="446" t="s">
        <v>96</v>
      </c>
      <c r="B4" s="479">
        <f>'0.25 Mile Population'!I3</f>
        <v>4027.333333333333</v>
      </c>
      <c r="C4" s="525">
        <f>'0.50 Mile Population '!I3-B4</f>
        <v>12230.5</v>
      </c>
      <c r="D4" s="525">
        <f>'1 Mile Population'!I3-(SUM(B4:C4))</f>
        <v>13822</v>
      </c>
      <c r="E4" s="526">
        <f>SUM(B4:D4)</f>
        <v>30079.833333333332</v>
      </c>
      <c r="F4" s="532"/>
      <c r="G4" s="479">
        <f>B4</f>
        <v>4027.333333333333</v>
      </c>
      <c r="H4" s="479">
        <f t="shared" ref="H4:I5" si="0">C4</f>
        <v>12230.5</v>
      </c>
      <c r="I4" s="479">
        <f>D4</f>
        <v>13822</v>
      </c>
      <c r="J4" s="480">
        <f>SUM(G4:I4)</f>
        <v>30079.833333333332</v>
      </c>
    </row>
    <row r="5" spans="1:12" x14ac:dyDescent="0.25">
      <c r="A5" s="446" t="s">
        <v>20</v>
      </c>
      <c r="B5" s="479">
        <f>'0.25 Mile Population'!I22</f>
        <v>3437.2490000000003</v>
      </c>
      <c r="C5" s="525">
        <f>'0.50 Mile Population '!I22-B5</f>
        <v>9141.2010000000009</v>
      </c>
      <c r="D5" s="525">
        <f>'1 Mile Population'!I22-(SUM(B5:C5))</f>
        <v>10552.014999999999</v>
      </c>
      <c r="E5" s="526">
        <f t="shared" ref="E5:E27" si="1">SUM(B5:D5)</f>
        <v>23130.465</v>
      </c>
      <c r="F5" s="532"/>
      <c r="G5" s="479">
        <f>B5</f>
        <v>3437.2490000000003</v>
      </c>
      <c r="H5" s="479">
        <f t="shared" si="0"/>
        <v>9141.2010000000009</v>
      </c>
      <c r="I5" s="479">
        <f t="shared" si="0"/>
        <v>10552.014999999999</v>
      </c>
      <c r="J5" s="480">
        <f>SUM(G5:I5)</f>
        <v>23130.465</v>
      </c>
    </row>
    <row r="6" spans="1:12" x14ac:dyDescent="0.25">
      <c r="A6" s="446" t="s">
        <v>97</v>
      </c>
      <c r="B6" s="479">
        <f>'0.25 Mile Population'!I36-('0.25 Mile Population'!I36*'0.25 Mile Population'!I49)</f>
        <v>1963.8153333333332</v>
      </c>
      <c r="C6" s="525">
        <f>('0.50 Mile Population '!I36-('0.50 Mile Population '!I36*'0.50 Mile Population '!I49))-B6</f>
        <v>5199.0863333333327</v>
      </c>
      <c r="D6" s="525">
        <f>('1 Mile Population'!I36-('1 Mile Population'!I36*'1 Mile Population'!I49))-(B6+C6)</f>
        <v>6303.2976666666664</v>
      </c>
      <c r="E6" s="526">
        <f>SUM(B6:D6)</f>
        <v>13466.199333333332</v>
      </c>
      <c r="F6" s="532"/>
      <c r="G6" s="525">
        <f>G4*0.4</f>
        <v>1610.9333333333334</v>
      </c>
      <c r="H6" s="525">
        <f t="shared" ref="H6" si="2">H4*0.4</f>
        <v>4892.2</v>
      </c>
      <c r="I6" s="525">
        <f>I4*0.4</f>
        <v>5528.8</v>
      </c>
      <c r="J6" s="526">
        <f t="shared" ref="J6:J27" si="3">SUM(G6:I6)</f>
        <v>12031.933333333334</v>
      </c>
    </row>
    <row r="7" spans="1:12" x14ac:dyDescent="0.25">
      <c r="A7" s="446" t="s">
        <v>98</v>
      </c>
      <c r="B7" s="479">
        <f>B6*'0.25 Mile Population'!I47</f>
        <v>74.624982666666668</v>
      </c>
      <c r="C7" s="525">
        <f>C6*'0.50 Mile Population '!I47</f>
        <v>187.16710799999996</v>
      </c>
      <c r="D7" s="525">
        <f>D6*'1 Mile Population'!I47</f>
        <v>144.97584633333332</v>
      </c>
      <c r="E7" s="526">
        <f t="shared" si="1"/>
        <v>406.76793699999996</v>
      </c>
      <c r="F7" s="532"/>
      <c r="G7" s="525">
        <f>G6*'0.25 Mile Population'!I47</f>
        <v>61.215466666666664</v>
      </c>
      <c r="H7" s="525">
        <f>H6*'0.50 Mile Population '!I47</f>
        <v>176.11919999999998</v>
      </c>
      <c r="I7" s="525">
        <f>I6*'1 Mile Population'!I47</f>
        <v>127.16240000000001</v>
      </c>
      <c r="J7" s="526">
        <f t="shared" si="3"/>
        <v>364.49706666666663</v>
      </c>
    </row>
    <row r="8" spans="1:12" x14ac:dyDescent="0.25">
      <c r="A8" s="446" t="s">
        <v>99</v>
      </c>
      <c r="B8" s="479">
        <f>'0.25 Mile Population'!I46*'Estimating Users Methodology'!B6</f>
        <v>286.71703866666661</v>
      </c>
      <c r="C8" s="479">
        <f>'0.50 Mile Population '!I46*'Estimating Users Methodology'!C6</f>
        <v>582.29766933333326</v>
      </c>
      <c r="D8" s="525">
        <f>'1 Mile Population'!I46*'Estimating Users Methodology'!D6</f>
        <v>579.90338533333329</v>
      </c>
      <c r="E8" s="526">
        <f t="shared" si="1"/>
        <v>1448.9180933333332</v>
      </c>
      <c r="F8" s="532"/>
      <c r="G8" s="525">
        <f>'0.25 Mile Population'!I46*'Estimating Users Methodology'!G6</f>
        <v>235.19626666666667</v>
      </c>
      <c r="H8" s="525">
        <f>'0.50 Mile Population '!I46*'Estimating Users Methodology'!H6</f>
        <v>547.92639999999994</v>
      </c>
      <c r="I8" s="525">
        <f>'1 Mile Population'!I46*'Estimating Users Methodology'!I6</f>
        <v>508.64960000000002</v>
      </c>
      <c r="J8" s="526">
        <f t="shared" si="3"/>
        <v>1291.7722666666666</v>
      </c>
    </row>
    <row r="9" spans="1:12" x14ac:dyDescent="0.25">
      <c r="A9" s="446" t="s">
        <v>100</v>
      </c>
      <c r="B9" s="479">
        <f>'0.25 Mile Population'!I45*'Estimating Users Methodology'!B6</f>
        <v>100.15458199999999</v>
      </c>
      <c r="C9" s="479">
        <f>'0.50 Mile Population '!I45*'Estimating Users Methodology'!C6</f>
        <v>223.5607123333333</v>
      </c>
      <c r="D9" s="525">
        <f>'1 Mile Population'!I45*'Estimating Users Methodology'!D6</f>
        <v>296.2549903333333</v>
      </c>
      <c r="E9" s="526">
        <f t="shared" si="1"/>
        <v>619.97028466666666</v>
      </c>
      <c r="F9" s="532"/>
      <c r="G9" s="525">
        <f>'0.25 Mile Population'!I45*'Estimating Users Methodology'!G6</f>
        <v>82.157600000000002</v>
      </c>
      <c r="H9" s="525">
        <f>'0.50 Mile Population '!I45*'Estimating Users Methodology'!H6</f>
        <v>210.36459999999997</v>
      </c>
      <c r="I9" s="525">
        <f>'1 Mile Population'!I45*'Estimating Users Methodology'!I6</f>
        <v>259.85360000000003</v>
      </c>
      <c r="J9" s="526">
        <f t="shared" si="3"/>
        <v>552.37580000000003</v>
      </c>
      <c r="L9" s="491"/>
    </row>
    <row r="10" spans="1:12" x14ac:dyDescent="0.25">
      <c r="A10" s="446" t="s">
        <v>106</v>
      </c>
      <c r="B10" s="479">
        <f>B7</f>
        <v>74.624982666666668</v>
      </c>
      <c r="C10" s="479">
        <f>C7</f>
        <v>187.16710799999996</v>
      </c>
      <c r="D10" s="479">
        <f>D7</f>
        <v>144.97584633333332</v>
      </c>
      <c r="E10" s="526">
        <f t="shared" si="1"/>
        <v>406.76793699999996</v>
      </c>
      <c r="F10" s="532"/>
      <c r="G10" s="525">
        <f>G7</f>
        <v>61.215466666666664</v>
      </c>
      <c r="H10" s="525">
        <f>H7</f>
        <v>176.11919999999998</v>
      </c>
      <c r="I10" s="525">
        <f>I7</f>
        <v>127.16240000000001</v>
      </c>
      <c r="J10" s="526">
        <f t="shared" si="3"/>
        <v>364.49706666666663</v>
      </c>
      <c r="L10" s="491"/>
    </row>
    <row r="11" spans="1:12" x14ac:dyDescent="0.25">
      <c r="A11" s="446" t="s">
        <v>107</v>
      </c>
      <c r="B11" s="479">
        <f>(0.004*B5)+(1.2*B7)</f>
        <v>103.2989752</v>
      </c>
      <c r="C11" s="479">
        <f>(0.004*C5)+(1.2*C7)</f>
        <v>261.16533359999994</v>
      </c>
      <c r="D11" s="479">
        <f>(0.004*D5)+(1.2*D7)</f>
        <v>216.17907559999998</v>
      </c>
      <c r="E11" s="526">
        <f t="shared" si="1"/>
        <v>580.64338439999983</v>
      </c>
      <c r="F11" s="532"/>
      <c r="G11" s="525">
        <f>(0.004*G5)+(1.2*G7)</f>
        <v>87.207555999999997</v>
      </c>
      <c r="H11" s="525">
        <f>(0.004*H5)+(1.2*H7)</f>
        <v>247.90784399999998</v>
      </c>
      <c r="I11" s="525">
        <f>(0.004*I5)+(1.2*I7)</f>
        <v>194.80293999999998</v>
      </c>
      <c r="J11" s="526">
        <f t="shared" si="3"/>
        <v>529.91833999999994</v>
      </c>
    </row>
    <row r="12" spans="1:12" x14ac:dyDescent="0.25">
      <c r="A12" s="446" t="s">
        <v>704</v>
      </c>
      <c r="B12" s="479">
        <f>(0.006*B5)+(3*B7)</f>
        <v>244.49844200000001</v>
      </c>
      <c r="C12" s="479">
        <f>(0.006*C5)+(3*C7)</f>
        <v>616.34852999999987</v>
      </c>
      <c r="D12" s="479">
        <f t="shared" ref="D12" si="4">(0.006*D5)+(3*D7)</f>
        <v>498.23962899999998</v>
      </c>
      <c r="E12" s="526">
        <f t="shared" si="1"/>
        <v>1359.0866009999997</v>
      </c>
      <c r="F12" s="532"/>
      <c r="G12" s="525">
        <f>(0.006*G5)+(3*G7)</f>
        <v>204.26989399999999</v>
      </c>
      <c r="H12" s="525">
        <f t="shared" ref="H12" si="5">(0.006*H5)+(3*H7)</f>
        <v>583.20480599999996</v>
      </c>
      <c r="I12" s="525">
        <f>(0.006*I5)+(3*I7)</f>
        <v>444.79929000000004</v>
      </c>
      <c r="J12" s="526">
        <f t="shared" si="3"/>
        <v>1232.2739900000001</v>
      </c>
    </row>
    <row r="13" spans="1:12" x14ac:dyDescent="0.25">
      <c r="A13" s="446" t="s">
        <v>109</v>
      </c>
      <c r="B13" s="479">
        <f>B10-B7</f>
        <v>0</v>
      </c>
      <c r="C13" s="479">
        <f>C10-C7</f>
        <v>0</v>
      </c>
      <c r="D13" s="479">
        <f>D10-D7</f>
        <v>0</v>
      </c>
      <c r="E13" s="526">
        <f t="shared" si="1"/>
        <v>0</v>
      </c>
      <c r="F13" s="532"/>
      <c r="G13" s="525">
        <f>G10-G7</f>
        <v>0</v>
      </c>
      <c r="H13" s="525">
        <f>H10-H7</f>
        <v>0</v>
      </c>
      <c r="I13" s="525">
        <f>I10-I7</f>
        <v>0</v>
      </c>
      <c r="J13" s="526">
        <f t="shared" si="3"/>
        <v>0</v>
      </c>
    </row>
    <row r="14" spans="1:12" x14ac:dyDescent="0.25">
      <c r="A14" s="446" t="s">
        <v>110</v>
      </c>
      <c r="B14" s="479">
        <f>B11-B7</f>
        <v>28.673992533333333</v>
      </c>
      <c r="C14" s="479">
        <f>C11-C7</f>
        <v>73.998225599999984</v>
      </c>
      <c r="D14" s="479">
        <f>D11-D7</f>
        <v>71.203229266666654</v>
      </c>
      <c r="E14" s="526">
        <f t="shared" si="1"/>
        <v>173.87544739999998</v>
      </c>
      <c r="F14" s="532"/>
      <c r="G14" s="525">
        <f>G11-G7</f>
        <v>25.992089333333332</v>
      </c>
      <c r="H14" s="525">
        <f>H11-H7</f>
        <v>71.788644000000005</v>
      </c>
      <c r="I14" s="525">
        <f>I11-I7</f>
        <v>67.640539999999973</v>
      </c>
      <c r="J14" s="526">
        <f t="shared" si="3"/>
        <v>165.42127333333332</v>
      </c>
    </row>
    <row r="15" spans="1:12" x14ac:dyDescent="0.25">
      <c r="A15" s="446" t="s">
        <v>111</v>
      </c>
      <c r="B15" s="479">
        <f>B12-B7</f>
        <v>169.87345933333336</v>
      </c>
      <c r="C15" s="479">
        <f>C12-C7</f>
        <v>429.18142199999988</v>
      </c>
      <c r="D15" s="479">
        <f>D12-D7</f>
        <v>353.26378266666666</v>
      </c>
      <c r="E15" s="526">
        <f t="shared" si="1"/>
        <v>952.3186639999999</v>
      </c>
      <c r="F15" s="532"/>
      <c r="G15" s="525">
        <f>G12-G7</f>
        <v>143.05442733333334</v>
      </c>
      <c r="H15" s="525">
        <f>H12-H7</f>
        <v>407.08560599999998</v>
      </c>
      <c r="I15" s="525">
        <f>I12-I7</f>
        <v>317.63689000000005</v>
      </c>
      <c r="J15" s="526">
        <f t="shared" si="3"/>
        <v>867.77692333333334</v>
      </c>
    </row>
    <row r="16" spans="1:12" x14ac:dyDescent="0.25">
      <c r="A16" s="446" t="s">
        <v>113</v>
      </c>
      <c r="B16" s="479">
        <f>B4*0.25</f>
        <v>1006.8333333333333</v>
      </c>
      <c r="C16" s="479">
        <f>C4*0.25</f>
        <v>3057.625</v>
      </c>
      <c r="D16" s="479">
        <f>D4*0.25</f>
        <v>3455.5</v>
      </c>
      <c r="E16" s="526">
        <f>SUM(B16:D16)</f>
        <v>7519.958333333333</v>
      </c>
      <c r="F16" s="532"/>
      <c r="G16" s="525">
        <f>G4*0.25</f>
        <v>1006.8333333333333</v>
      </c>
      <c r="H16" s="525">
        <f>H4*0.25</f>
        <v>3057.625</v>
      </c>
      <c r="I16" s="525">
        <f>I4*0.25</f>
        <v>3455.5</v>
      </c>
      <c r="J16" s="526">
        <f t="shared" si="3"/>
        <v>7519.958333333333</v>
      </c>
    </row>
    <row r="17" spans="1:10" x14ac:dyDescent="0.25">
      <c r="A17" s="446" t="s">
        <v>127</v>
      </c>
      <c r="B17" s="479">
        <f>B7*(2.93-1)</f>
        <v>144.02621654666669</v>
      </c>
      <c r="C17" s="479">
        <f>C7*(2.11-1)</f>
        <v>207.75548987999994</v>
      </c>
      <c r="D17" s="479">
        <f>D7*(1.29-1)</f>
        <v>42.042995436666672</v>
      </c>
      <c r="E17" s="526">
        <f t="shared" si="1"/>
        <v>393.8247018633333</v>
      </c>
      <c r="F17" s="533"/>
      <c r="G17" s="525">
        <f>G7*(2.93-1)</f>
        <v>118.14585066666668</v>
      </c>
      <c r="H17" s="525">
        <f>H7*(2.11-1)</f>
        <v>195.49231199999994</v>
      </c>
      <c r="I17" s="525">
        <f>I7*(1.29-1)</f>
        <v>36.877096000000009</v>
      </c>
      <c r="J17" s="526">
        <f t="shared" si="3"/>
        <v>350.51525866666663</v>
      </c>
    </row>
    <row r="18" spans="1:10" x14ac:dyDescent="0.25">
      <c r="A18" s="446" t="s">
        <v>128</v>
      </c>
      <c r="B18" s="479">
        <f>B10*(2.93-1)</f>
        <v>144.02621654666669</v>
      </c>
      <c r="C18" s="479">
        <f>C10*(2.11-1)</f>
        <v>207.75548987999994</v>
      </c>
      <c r="D18" s="479">
        <f>D10*(1.39-1)</f>
        <v>56.540580069999983</v>
      </c>
      <c r="E18" s="526">
        <f>SUM(B18:D18)</f>
        <v>408.32228649666661</v>
      </c>
      <c r="F18" s="532"/>
      <c r="G18" s="525">
        <f>G10*(2.93-1)</f>
        <v>118.14585066666668</v>
      </c>
      <c r="H18" s="525">
        <f>H10*(2.11-1)</f>
        <v>195.49231199999994</v>
      </c>
      <c r="I18" s="525">
        <f>I10*(1.39-1)</f>
        <v>49.593335999999987</v>
      </c>
      <c r="J18" s="526">
        <f t="shared" si="3"/>
        <v>363.2314986666666</v>
      </c>
    </row>
    <row r="19" spans="1:10" x14ac:dyDescent="0.25">
      <c r="A19" s="446" t="s">
        <v>129</v>
      </c>
      <c r="B19" s="479">
        <f>B11*(2.93-1)</f>
        <v>199.36702213600003</v>
      </c>
      <c r="C19" s="479">
        <f>C11*(2.11-1)</f>
        <v>289.89352029599991</v>
      </c>
      <c r="D19" s="479">
        <f t="shared" ref="D19:D20" si="6">D11*(1.39-1)</f>
        <v>84.309839483999966</v>
      </c>
      <c r="E19" s="526">
        <f t="shared" si="1"/>
        <v>573.57038191599997</v>
      </c>
      <c r="F19" s="532"/>
      <c r="G19" s="525">
        <f t="shared" ref="G19:G20" si="7">G11*(2.93-1)</f>
        <v>168.31058308000001</v>
      </c>
      <c r="H19" s="525">
        <f t="shared" ref="H19:H20" si="8">H11*(2.11-1)</f>
        <v>275.17770683999993</v>
      </c>
      <c r="I19" s="525">
        <f t="shared" ref="I19:I20" si="9">I11*(1.39-1)</f>
        <v>75.973146599999978</v>
      </c>
      <c r="J19" s="526">
        <f t="shared" si="3"/>
        <v>519.46143651999989</v>
      </c>
    </row>
    <row r="20" spans="1:10" x14ac:dyDescent="0.25">
      <c r="A20" s="446" t="s">
        <v>130</v>
      </c>
      <c r="B20" s="479">
        <f t="shared" ref="B20" si="10">B12*(2.93-1)</f>
        <v>471.88199306000007</v>
      </c>
      <c r="C20" s="479">
        <f>C12*(2.11-1)</f>
        <v>684.14686829999982</v>
      </c>
      <c r="D20" s="479">
        <f t="shared" si="6"/>
        <v>194.31345530999994</v>
      </c>
      <c r="E20" s="526">
        <f t="shared" si="1"/>
        <v>1350.3423166699997</v>
      </c>
      <c r="F20" s="532"/>
      <c r="G20" s="525">
        <f t="shared" si="7"/>
        <v>394.24089542000002</v>
      </c>
      <c r="H20" s="525">
        <f t="shared" si="8"/>
        <v>647.35733465999988</v>
      </c>
      <c r="I20" s="525">
        <f t="shared" si="9"/>
        <v>173.47172309999996</v>
      </c>
      <c r="J20" s="526">
        <f t="shared" si="3"/>
        <v>1215.0699531799999</v>
      </c>
    </row>
    <row r="21" spans="1:10" x14ac:dyDescent="0.25">
      <c r="A21" s="446" t="s">
        <v>118</v>
      </c>
      <c r="B21" s="479">
        <f>SUM(B8:B9)</f>
        <v>386.87162066666662</v>
      </c>
      <c r="C21" s="479">
        <f>SUM(C8:C9)</f>
        <v>805.85838166666656</v>
      </c>
      <c r="D21" s="479">
        <f t="shared" ref="D21" si="11">SUM(D8:D9)</f>
        <v>876.15837566666664</v>
      </c>
      <c r="E21" s="526">
        <f t="shared" si="1"/>
        <v>2068.8883779999996</v>
      </c>
      <c r="F21" s="532"/>
      <c r="G21" s="525">
        <f>SUM(G8:G9)</f>
        <v>317.3538666666667</v>
      </c>
      <c r="H21" s="525">
        <f t="shared" ref="H21:I21" si="12">SUM(H8:H9)</f>
        <v>758.29099999999994</v>
      </c>
      <c r="I21" s="525">
        <f t="shared" si="12"/>
        <v>768.50320000000011</v>
      </c>
      <c r="J21" s="526">
        <f t="shared" si="3"/>
        <v>1844.1480666666666</v>
      </c>
    </row>
    <row r="22" spans="1:10" x14ac:dyDescent="0.25">
      <c r="A22" s="446" t="s">
        <v>119</v>
      </c>
      <c r="B22" s="479">
        <f t="shared" ref="B22:C24" si="13">B13</f>
        <v>0</v>
      </c>
      <c r="C22" s="479">
        <f t="shared" si="13"/>
        <v>0</v>
      </c>
      <c r="D22" s="479">
        <f t="shared" ref="D22" si="14">D13</f>
        <v>0</v>
      </c>
      <c r="E22" s="526">
        <f t="shared" si="1"/>
        <v>0</v>
      </c>
      <c r="F22" s="532"/>
      <c r="G22" s="525">
        <f>G13</f>
        <v>0</v>
      </c>
      <c r="H22" s="525">
        <f t="shared" ref="H22:I22" si="15">H13</f>
        <v>0</v>
      </c>
      <c r="I22" s="525">
        <f t="shared" si="15"/>
        <v>0</v>
      </c>
      <c r="J22" s="526">
        <f t="shared" si="3"/>
        <v>0</v>
      </c>
    </row>
    <row r="23" spans="1:10" x14ac:dyDescent="0.25">
      <c r="A23" s="446" t="s">
        <v>120</v>
      </c>
      <c r="B23" s="479">
        <f>B14</f>
        <v>28.673992533333333</v>
      </c>
      <c r="C23" s="479">
        <f t="shared" si="13"/>
        <v>73.998225599999984</v>
      </c>
      <c r="D23" s="479">
        <f t="shared" ref="D23:D24" si="16">D14</f>
        <v>71.203229266666654</v>
      </c>
      <c r="E23" s="526">
        <f t="shared" si="1"/>
        <v>173.87544739999998</v>
      </c>
      <c r="F23" s="532"/>
      <c r="G23" s="525">
        <f t="shared" ref="G23:I23" si="17">G14</f>
        <v>25.992089333333332</v>
      </c>
      <c r="H23" s="525">
        <f t="shared" si="17"/>
        <v>71.788644000000005</v>
      </c>
      <c r="I23" s="525">
        <f t="shared" si="17"/>
        <v>67.640539999999973</v>
      </c>
      <c r="J23" s="526">
        <f t="shared" si="3"/>
        <v>165.42127333333332</v>
      </c>
    </row>
    <row r="24" spans="1:10" x14ac:dyDescent="0.25">
      <c r="A24" s="446" t="s">
        <v>121</v>
      </c>
      <c r="B24" s="479">
        <f t="shared" si="13"/>
        <v>169.87345933333336</v>
      </c>
      <c r="C24" s="479">
        <f t="shared" si="13"/>
        <v>429.18142199999988</v>
      </c>
      <c r="D24" s="479">
        <f t="shared" si="16"/>
        <v>353.26378266666666</v>
      </c>
      <c r="E24" s="526">
        <f t="shared" si="1"/>
        <v>952.3186639999999</v>
      </c>
      <c r="F24" s="532"/>
      <c r="G24" s="525">
        <f>G15</f>
        <v>143.05442733333334</v>
      </c>
      <c r="H24" s="525">
        <f t="shared" ref="H24:I24" si="18">H15</f>
        <v>407.08560599999998</v>
      </c>
      <c r="I24" s="525">
        <f t="shared" si="18"/>
        <v>317.63689000000005</v>
      </c>
      <c r="J24" s="526">
        <f t="shared" si="3"/>
        <v>867.77692333333334</v>
      </c>
    </row>
    <row r="25" spans="1:10" x14ac:dyDescent="0.25">
      <c r="A25" s="446" t="s">
        <v>122</v>
      </c>
      <c r="B25" s="479">
        <f>SUM($B$21,B22)</f>
        <v>386.87162066666662</v>
      </c>
      <c r="C25" s="479">
        <f>SUM($C$21,C22)</f>
        <v>805.85838166666656</v>
      </c>
      <c r="D25" s="479">
        <f>SUM($D$21,D22)</f>
        <v>876.15837566666664</v>
      </c>
      <c r="E25" s="526">
        <f t="shared" si="1"/>
        <v>2068.8883779999996</v>
      </c>
      <c r="F25" s="532"/>
      <c r="G25" s="525">
        <f>SUM($G$21,G22)</f>
        <v>317.3538666666667</v>
      </c>
      <c r="H25" s="525">
        <f>SUM($H$21,H22)</f>
        <v>758.29099999999994</v>
      </c>
      <c r="I25" s="525">
        <f>SUM($I$21,I22)</f>
        <v>768.50320000000011</v>
      </c>
      <c r="J25" s="526">
        <f t="shared" si="3"/>
        <v>1844.1480666666666</v>
      </c>
    </row>
    <row r="26" spans="1:10" x14ac:dyDescent="0.25">
      <c r="A26" s="446" t="s">
        <v>123</v>
      </c>
      <c r="B26" s="479">
        <f>SUM($B$21,B23)</f>
        <v>415.54561319999993</v>
      </c>
      <c r="C26" s="479">
        <f>SUM($C$21,C23)</f>
        <v>879.85660726666651</v>
      </c>
      <c r="D26" s="479">
        <f t="shared" ref="D26:D27" si="19">SUM($D$21,D23)</f>
        <v>947.3616049333333</v>
      </c>
      <c r="E26" s="526">
        <f t="shared" si="1"/>
        <v>2242.7638253999999</v>
      </c>
      <c r="F26" s="532"/>
      <c r="G26" s="525">
        <f t="shared" ref="G26:G27" si="20">SUM($G$21,G23)</f>
        <v>343.34595600000006</v>
      </c>
      <c r="H26" s="525">
        <f t="shared" ref="H26:H27" si="21">SUM($H$21,H23)</f>
        <v>830.07964399999992</v>
      </c>
      <c r="I26" s="525">
        <f t="shared" ref="I26:I27" si="22">SUM($I$21,I23)</f>
        <v>836.14374000000009</v>
      </c>
      <c r="J26" s="526">
        <f t="shared" si="3"/>
        <v>2009.56934</v>
      </c>
    </row>
    <row r="27" spans="1:10" x14ac:dyDescent="0.25">
      <c r="A27" s="446" t="s">
        <v>124</v>
      </c>
      <c r="B27" s="479">
        <f t="shared" ref="B27" si="23">SUM($B$21,B24)</f>
        <v>556.74507999999992</v>
      </c>
      <c r="C27" s="479">
        <f>SUM($C$21,C24)</f>
        <v>1235.0398036666666</v>
      </c>
      <c r="D27" s="479">
        <f t="shared" si="19"/>
        <v>1229.4221583333333</v>
      </c>
      <c r="E27" s="526">
        <f t="shared" si="1"/>
        <v>3021.207042</v>
      </c>
      <c r="F27" s="532"/>
      <c r="G27" s="525">
        <f t="shared" si="20"/>
        <v>460.40829400000007</v>
      </c>
      <c r="H27" s="525">
        <f t="shared" si="21"/>
        <v>1165.3766059999998</v>
      </c>
      <c r="I27" s="525">
        <f t="shared" si="22"/>
        <v>1086.1400900000001</v>
      </c>
      <c r="J27" s="526">
        <f t="shared" si="3"/>
        <v>2711.92499</v>
      </c>
    </row>
    <row r="28" spans="1:10" ht="15.75" thickBot="1" x14ac:dyDescent="0.3">
      <c r="A28" s="448" t="s">
        <v>131</v>
      </c>
      <c r="B28" s="527">
        <f>B26</f>
        <v>415.54561319999993</v>
      </c>
      <c r="C28" s="527">
        <f>C26</f>
        <v>879.85660726666651</v>
      </c>
      <c r="D28" s="527">
        <f t="shared" ref="D28:E28" si="24">D26</f>
        <v>947.3616049333333</v>
      </c>
      <c r="E28" s="529">
        <f t="shared" si="24"/>
        <v>2242.7638253999999</v>
      </c>
      <c r="F28" s="534"/>
      <c r="G28" s="528">
        <f>(0.5*G5)+G8</f>
        <v>1953.8207666666667</v>
      </c>
      <c r="H28" s="528">
        <f t="shared" ref="H28:I28" si="25">(0.5*H5)+H8</f>
        <v>5118.5269000000008</v>
      </c>
      <c r="I28" s="528">
        <f t="shared" si="25"/>
        <v>5784.6570999999994</v>
      </c>
      <c r="J28" s="529">
        <f t="shared" ref="J28" si="26">SUM(G28:I28)</f>
        <v>12857.004766666667</v>
      </c>
    </row>
    <row r="29" spans="1:10" x14ac:dyDescent="0.25">
      <c r="B29" s="491"/>
      <c r="C29" s="491"/>
      <c r="D29" s="491"/>
      <c r="E29" s="530"/>
      <c r="I29" s="491"/>
      <c r="J29" s="491"/>
    </row>
    <row r="30" spans="1:10" x14ac:dyDescent="0.25">
      <c r="B30" s="491"/>
      <c r="C30" s="491"/>
      <c r="D30" s="491"/>
      <c r="E30" s="530"/>
    </row>
    <row r="31" spans="1:10" x14ac:dyDescent="0.25">
      <c r="B31" s="491">
        <v>18.399999999999999</v>
      </c>
      <c r="C31" s="491"/>
      <c r="D31" s="491"/>
      <c r="E31" s="530"/>
    </row>
    <row r="32" spans="1:10" x14ac:dyDescent="0.25">
      <c r="B32" s="491">
        <f>B31/60</f>
        <v>0.30666666666666664</v>
      </c>
      <c r="C32" s="491">
        <v>3</v>
      </c>
      <c r="D32" s="610">
        <f>B32*C32</f>
        <v>0.91999999999999993</v>
      </c>
      <c r="E32" s="530"/>
    </row>
    <row r="33" spans="2:5" x14ac:dyDescent="0.25">
      <c r="B33" s="491"/>
      <c r="C33" s="491"/>
      <c r="D33" s="491"/>
      <c r="E33" s="530"/>
    </row>
    <row r="34" spans="2:5" x14ac:dyDescent="0.25">
      <c r="B34" s="491"/>
      <c r="C34" s="491"/>
      <c r="D34" s="491"/>
      <c r="E34" s="530"/>
    </row>
  </sheetData>
  <sheetProtection password="891C" sheet="1" objects="1" scenarios="1"/>
  <mergeCells count="3">
    <mergeCell ref="G2:J2"/>
    <mergeCell ref="B2:E2"/>
    <mergeCell ref="A2:A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zoomScale="70" zoomScaleNormal="70" workbookViewId="0">
      <selection activeCell="C3" sqref="C3"/>
    </sheetView>
  </sheetViews>
  <sheetFormatPr defaultRowHeight="15" x14ac:dyDescent="0.25"/>
  <cols>
    <col min="1" max="1" width="50" style="541" customWidth="1"/>
    <col min="2" max="4" width="15.7109375" style="541" customWidth="1"/>
    <col min="5" max="10" width="15.7109375" style="450" customWidth="1"/>
    <col min="11" max="11" width="9.140625" style="450"/>
    <col min="12" max="12" width="61.7109375" style="450" customWidth="1"/>
    <col min="13" max="13" width="15.7109375" style="450" customWidth="1"/>
    <col min="14" max="16384" width="9.140625" style="450"/>
  </cols>
  <sheetData>
    <row r="1" spans="1:13" ht="15.75" thickBot="1" x14ac:dyDescent="0.3">
      <c r="A1" s="659" t="s">
        <v>446</v>
      </c>
      <c r="B1" s="638" t="s">
        <v>701</v>
      </c>
      <c r="C1" s="639"/>
      <c r="D1" s="661"/>
      <c r="E1" s="638" t="s">
        <v>702</v>
      </c>
      <c r="F1" s="639"/>
      <c r="G1" s="640"/>
      <c r="H1" s="662" t="s">
        <v>703</v>
      </c>
      <c r="I1" s="639"/>
      <c r="J1" s="640"/>
    </row>
    <row r="2" spans="1:13" ht="45.75" customHeight="1" x14ac:dyDescent="0.25">
      <c r="A2" s="660"/>
      <c r="B2" s="364" t="s">
        <v>698</v>
      </c>
      <c r="C2" s="304" t="s">
        <v>699</v>
      </c>
      <c r="D2" s="365" t="s">
        <v>700</v>
      </c>
      <c r="E2" s="364" t="s">
        <v>698</v>
      </c>
      <c r="F2" s="304" t="s">
        <v>699</v>
      </c>
      <c r="G2" s="366" t="s">
        <v>700</v>
      </c>
      <c r="H2" s="367" t="s">
        <v>698</v>
      </c>
      <c r="I2" s="304" t="s">
        <v>699</v>
      </c>
      <c r="J2" s="366" t="s">
        <v>700</v>
      </c>
      <c r="L2" s="663" t="s">
        <v>679</v>
      </c>
      <c r="M2" s="535" t="s">
        <v>126</v>
      </c>
    </row>
    <row r="3" spans="1:13" ht="28.5" x14ac:dyDescent="0.25">
      <c r="A3" s="368" t="s">
        <v>1</v>
      </c>
      <c r="B3" s="369">
        <f>'Legacy Trail'!L3</f>
        <v>3406</v>
      </c>
      <c r="C3" s="370">
        <f>'Town Branch Trail'!J3</f>
        <v>4374</v>
      </c>
      <c r="D3" s="379">
        <f>SUM(B3:C3)</f>
        <v>7780</v>
      </c>
      <c r="E3" s="369">
        <f>'Legacy Trail'!J3</f>
        <v>8990</v>
      </c>
      <c r="F3" s="370">
        <f>'Town Branch Trail'!H3</f>
        <v>9036</v>
      </c>
      <c r="G3" s="380">
        <f>SUM(E3:F3)</f>
        <v>18026</v>
      </c>
      <c r="H3" s="373">
        <f>'Legacy Trail'!G3</f>
        <v>17835</v>
      </c>
      <c r="I3" s="370">
        <f>'Town Branch Trail'!E3</f>
        <v>12718</v>
      </c>
      <c r="J3" s="380">
        <f>SUM(H3:I3)</f>
        <v>30553</v>
      </c>
      <c r="L3" s="664"/>
      <c r="M3" s="509" t="s">
        <v>708</v>
      </c>
    </row>
    <row r="4" spans="1:13" x14ac:dyDescent="0.25">
      <c r="A4" s="368" t="s">
        <v>2</v>
      </c>
      <c r="B4" s="369">
        <f>'Legacy Trail'!L4</f>
        <v>204</v>
      </c>
      <c r="C4" s="370">
        <f>'Town Branch Trail'!J4</f>
        <v>350</v>
      </c>
      <c r="D4" s="379">
        <f t="shared" ref="D4:D62" si="0">SUM(B4:C4)</f>
        <v>554</v>
      </c>
      <c r="E4" s="369">
        <f>'Legacy Trail'!J4</f>
        <v>758</v>
      </c>
      <c r="F4" s="370">
        <f>'Town Branch Trail'!H4</f>
        <v>907</v>
      </c>
      <c r="G4" s="380">
        <f t="shared" ref="G4:G36" si="1">SUM(E4:F4)</f>
        <v>1665</v>
      </c>
      <c r="H4" s="373">
        <f>'Legacy Trail'!G4</f>
        <v>1484</v>
      </c>
      <c r="I4" s="370">
        <f>'Town Branch Trail'!E4</f>
        <v>929</v>
      </c>
      <c r="J4" s="380">
        <f t="shared" ref="J4:J36" si="2">SUM(H4:I4)</f>
        <v>2413</v>
      </c>
      <c r="L4" s="536" t="s">
        <v>96</v>
      </c>
      <c r="M4" s="526">
        <f>J3</f>
        <v>30553</v>
      </c>
    </row>
    <row r="5" spans="1:13" x14ac:dyDescent="0.25">
      <c r="A5" s="368" t="s">
        <v>3</v>
      </c>
      <c r="B5" s="369">
        <f>'Legacy Trail'!L5</f>
        <v>178</v>
      </c>
      <c r="C5" s="370">
        <f>'Town Branch Trail'!J5</f>
        <v>295</v>
      </c>
      <c r="D5" s="379">
        <f t="shared" si="0"/>
        <v>473</v>
      </c>
      <c r="E5" s="369">
        <f>'Legacy Trail'!J5</f>
        <v>793</v>
      </c>
      <c r="F5" s="370">
        <f>'Town Branch Trail'!H5</f>
        <v>726</v>
      </c>
      <c r="G5" s="380">
        <f t="shared" si="1"/>
        <v>1519</v>
      </c>
      <c r="H5" s="373">
        <f>'Legacy Trail'!G5</f>
        <v>1373</v>
      </c>
      <c r="I5" s="370">
        <f>'Town Branch Trail'!E5</f>
        <v>798</v>
      </c>
      <c r="J5" s="380">
        <f t="shared" si="2"/>
        <v>2171</v>
      </c>
      <c r="L5" s="536" t="s">
        <v>20</v>
      </c>
      <c r="M5" s="526">
        <f>J22</f>
        <v>22974</v>
      </c>
    </row>
    <row r="6" spans="1:13" x14ac:dyDescent="0.25">
      <c r="A6" s="368" t="s">
        <v>4</v>
      </c>
      <c r="B6" s="369">
        <f>'Legacy Trail'!L6</f>
        <v>176</v>
      </c>
      <c r="C6" s="370">
        <f>'Town Branch Trail'!J6</f>
        <v>80</v>
      </c>
      <c r="D6" s="379">
        <f t="shared" si="0"/>
        <v>256</v>
      </c>
      <c r="E6" s="369">
        <f>'Legacy Trail'!J6</f>
        <v>868</v>
      </c>
      <c r="F6" s="370">
        <f>'Town Branch Trail'!H6</f>
        <v>161</v>
      </c>
      <c r="G6" s="380">
        <f t="shared" si="1"/>
        <v>1029</v>
      </c>
      <c r="H6" s="373">
        <f>'Legacy Trail'!G6</f>
        <v>1319</v>
      </c>
      <c r="I6" s="370">
        <f>'Town Branch Trail'!E6</f>
        <v>307</v>
      </c>
      <c r="J6" s="380">
        <f t="shared" si="2"/>
        <v>1626</v>
      </c>
      <c r="L6" s="536" t="s">
        <v>97</v>
      </c>
      <c r="M6" s="526">
        <f>J36</f>
        <v>15363</v>
      </c>
    </row>
    <row r="7" spans="1:13" x14ac:dyDescent="0.25">
      <c r="A7" s="368" t="s">
        <v>5</v>
      </c>
      <c r="B7" s="369">
        <f>'Legacy Trail'!L7</f>
        <v>138</v>
      </c>
      <c r="C7" s="370">
        <f>'Town Branch Trail'!J7</f>
        <v>161</v>
      </c>
      <c r="D7" s="379">
        <f t="shared" si="0"/>
        <v>299</v>
      </c>
      <c r="E7" s="369">
        <f>'Legacy Trail'!J7</f>
        <v>319</v>
      </c>
      <c r="F7" s="370">
        <f>'Town Branch Trail'!H7</f>
        <v>346</v>
      </c>
      <c r="G7" s="380">
        <f t="shared" si="1"/>
        <v>665</v>
      </c>
      <c r="H7" s="373">
        <f>'Legacy Trail'!G7</f>
        <v>901</v>
      </c>
      <c r="I7" s="370">
        <f>'Town Branch Trail'!E7</f>
        <v>468</v>
      </c>
      <c r="J7" s="380">
        <f t="shared" si="2"/>
        <v>1369</v>
      </c>
      <c r="L7" s="536" t="s">
        <v>98</v>
      </c>
      <c r="M7" s="526">
        <f>J47*M6</f>
        <v>0</v>
      </c>
    </row>
    <row r="8" spans="1:13" x14ac:dyDescent="0.25">
      <c r="A8" s="368" t="s">
        <v>6</v>
      </c>
      <c r="B8" s="369">
        <f>'Legacy Trail'!L8</f>
        <v>85</v>
      </c>
      <c r="C8" s="370">
        <f>'Town Branch Trail'!J8</f>
        <v>406</v>
      </c>
      <c r="D8" s="379">
        <f t="shared" si="0"/>
        <v>491</v>
      </c>
      <c r="E8" s="369">
        <f>'Legacy Trail'!J8</f>
        <v>375</v>
      </c>
      <c r="F8" s="370">
        <f>'Town Branch Trail'!H8</f>
        <v>486</v>
      </c>
      <c r="G8" s="380">
        <f t="shared" si="1"/>
        <v>861</v>
      </c>
      <c r="H8" s="373">
        <f>'Legacy Trail'!G8</f>
        <v>813</v>
      </c>
      <c r="I8" s="370">
        <f>'Town Branch Trail'!E8</f>
        <v>748</v>
      </c>
      <c r="J8" s="380">
        <f t="shared" si="2"/>
        <v>1561</v>
      </c>
      <c r="L8" s="536" t="s">
        <v>99</v>
      </c>
      <c r="M8" s="526">
        <f>J46*M6</f>
        <v>104.47799999999999</v>
      </c>
    </row>
    <row r="9" spans="1:13" x14ac:dyDescent="0.25">
      <c r="A9" s="368" t="s">
        <v>7</v>
      </c>
      <c r="B9" s="369">
        <f>'Legacy Trail'!L9</f>
        <v>301</v>
      </c>
      <c r="C9" s="370">
        <f>'Town Branch Trail'!J9</f>
        <v>521</v>
      </c>
      <c r="D9" s="379">
        <f t="shared" si="0"/>
        <v>822</v>
      </c>
      <c r="E9" s="369">
        <f>'Legacy Trail'!J9</f>
        <v>870</v>
      </c>
      <c r="F9" s="370">
        <f>'Town Branch Trail'!H9</f>
        <v>1038</v>
      </c>
      <c r="G9" s="380">
        <f t="shared" si="1"/>
        <v>1908</v>
      </c>
      <c r="H9" s="373">
        <f>'Legacy Trail'!G9</f>
        <v>1725</v>
      </c>
      <c r="I9" s="370">
        <f>'Town Branch Trail'!E9</f>
        <v>1313</v>
      </c>
      <c r="J9" s="380">
        <f t="shared" si="2"/>
        <v>3038</v>
      </c>
      <c r="L9" s="536" t="s">
        <v>100</v>
      </c>
      <c r="M9" s="526">
        <f>J45*M6</f>
        <v>122.416</v>
      </c>
    </row>
    <row r="10" spans="1:13" x14ac:dyDescent="0.25">
      <c r="A10" s="368" t="s">
        <v>8</v>
      </c>
      <c r="B10" s="369">
        <f>'Legacy Trail'!L10</f>
        <v>320</v>
      </c>
      <c r="C10" s="370">
        <f>'Town Branch Trail'!J10</f>
        <v>698</v>
      </c>
      <c r="D10" s="379">
        <f t="shared" si="0"/>
        <v>1018</v>
      </c>
      <c r="E10" s="369">
        <f>'Legacy Trail'!J10</f>
        <v>685</v>
      </c>
      <c r="F10" s="370">
        <f>'Town Branch Trail'!H10</f>
        <v>1367</v>
      </c>
      <c r="G10" s="380">
        <f t="shared" si="1"/>
        <v>2052</v>
      </c>
      <c r="H10" s="373">
        <f>'Legacy Trail'!G10</f>
        <v>1830</v>
      </c>
      <c r="I10" s="370">
        <f>'Town Branch Trail'!E10</f>
        <v>1836</v>
      </c>
      <c r="J10" s="380">
        <f t="shared" si="2"/>
        <v>3666</v>
      </c>
      <c r="L10" s="536" t="s">
        <v>705</v>
      </c>
      <c r="M10" s="537">
        <f>'1 Mile Population'!I47</f>
        <v>2.3E-2</v>
      </c>
    </row>
    <row r="11" spans="1:13" x14ac:dyDescent="0.25">
      <c r="A11" s="368" t="s">
        <v>9</v>
      </c>
      <c r="B11" s="369">
        <f>'Legacy Trail'!L11</f>
        <v>197</v>
      </c>
      <c r="C11" s="370">
        <f>'Town Branch Trail'!J11</f>
        <v>418</v>
      </c>
      <c r="D11" s="379">
        <f t="shared" si="0"/>
        <v>615</v>
      </c>
      <c r="E11" s="369">
        <f>'Legacy Trail'!J11</f>
        <v>638</v>
      </c>
      <c r="F11" s="370">
        <f>'Town Branch Trail'!H11</f>
        <v>838</v>
      </c>
      <c r="G11" s="380">
        <f t="shared" si="1"/>
        <v>1476</v>
      </c>
      <c r="H11" s="373">
        <f>'Legacy Trail'!G11</f>
        <v>1326</v>
      </c>
      <c r="I11" s="370">
        <f>'Town Branch Trail'!E11</f>
        <v>1192</v>
      </c>
      <c r="J11" s="380">
        <f t="shared" si="2"/>
        <v>2518</v>
      </c>
      <c r="L11" s="536" t="s">
        <v>706</v>
      </c>
      <c r="M11" s="526">
        <f>M6*M10</f>
        <v>353.34899999999999</v>
      </c>
    </row>
    <row r="12" spans="1:13" ht="15.75" thickBot="1" x14ac:dyDescent="0.3">
      <c r="A12" s="368" t="s">
        <v>10</v>
      </c>
      <c r="B12" s="369">
        <f>'Legacy Trail'!L12</f>
        <v>277</v>
      </c>
      <c r="C12" s="370">
        <f>'Town Branch Trail'!J12</f>
        <v>316</v>
      </c>
      <c r="D12" s="379">
        <f t="shared" si="0"/>
        <v>593</v>
      </c>
      <c r="E12" s="369">
        <f>'Legacy Trail'!J12</f>
        <v>610</v>
      </c>
      <c r="F12" s="370">
        <f>'Town Branch Trail'!H12</f>
        <v>663</v>
      </c>
      <c r="G12" s="380">
        <f t="shared" si="1"/>
        <v>1273</v>
      </c>
      <c r="H12" s="373">
        <f>'Legacy Trail'!G12</f>
        <v>1224</v>
      </c>
      <c r="I12" s="370">
        <f>'Town Branch Trail'!E12</f>
        <v>1110</v>
      </c>
      <c r="J12" s="380">
        <f t="shared" si="2"/>
        <v>2334</v>
      </c>
      <c r="L12" s="538" t="s">
        <v>707</v>
      </c>
      <c r="M12" s="529">
        <v>2</v>
      </c>
    </row>
    <row r="13" spans="1:13" x14ac:dyDescent="0.25">
      <c r="A13" s="368" t="s">
        <v>11</v>
      </c>
      <c r="B13" s="369">
        <f>'Legacy Trail'!L13</f>
        <v>223</v>
      </c>
      <c r="C13" s="370">
        <f>'Town Branch Trail'!J13</f>
        <v>255</v>
      </c>
      <c r="D13" s="379">
        <f t="shared" si="0"/>
        <v>478</v>
      </c>
      <c r="E13" s="369">
        <f>'Legacy Trail'!J13</f>
        <v>416</v>
      </c>
      <c r="F13" s="370">
        <f>'Town Branch Trail'!H13</f>
        <v>491</v>
      </c>
      <c r="G13" s="380">
        <f t="shared" si="1"/>
        <v>907</v>
      </c>
      <c r="H13" s="373">
        <f>'Legacy Trail'!G13</f>
        <v>933</v>
      </c>
      <c r="I13" s="370">
        <f>'Town Branch Trail'!E13</f>
        <v>913</v>
      </c>
      <c r="J13" s="380">
        <f t="shared" si="2"/>
        <v>1846</v>
      </c>
      <c r="L13" s="539"/>
      <c r="M13" s="540"/>
    </row>
    <row r="14" spans="1:13" x14ac:dyDescent="0.25">
      <c r="A14" s="368" t="s">
        <v>12</v>
      </c>
      <c r="B14" s="369">
        <f>'Legacy Trail'!L14</f>
        <v>225</v>
      </c>
      <c r="C14" s="370">
        <f>'Town Branch Trail'!J14</f>
        <v>335</v>
      </c>
      <c r="D14" s="379">
        <f t="shared" si="0"/>
        <v>560</v>
      </c>
      <c r="E14" s="369">
        <f>'Legacy Trail'!J14</f>
        <v>491</v>
      </c>
      <c r="F14" s="370">
        <f>'Town Branch Trail'!H14</f>
        <v>616</v>
      </c>
      <c r="G14" s="380">
        <f t="shared" si="1"/>
        <v>1107</v>
      </c>
      <c r="H14" s="373">
        <f>'Legacy Trail'!G14</f>
        <v>1012</v>
      </c>
      <c r="I14" s="370">
        <f>'Town Branch Trail'!E14</f>
        <v>939</v>
      </c>
      <c r="J14" s="380">
        <f t="shared" si="2"/>
        <v>1951</v>
      </c>
      <c r="L14" s="539"/>
      <c r="M14" s="540"/>
    </row>
    <row r="15" spans="1:13" x14ac:dyDescent="0.25">
      <c r="A15" s="368" t="s">
        <v>13</v>
      </c>
      <c r="B15" s="369">
        <f>'Legacy Trail'!L15</f>
        <v>236</v>
      </c>
      <c r="C15" s="370">
        <f>'Town Branch Trail'!J15</f>
        <v>205</v>
      </c>
      <c r="D15" s="379">
        <f t="shared" si="0"/>
        <v>441</v>
      </c>
      <c r="E15" s="369">
        <f>'Legacy Trail'!J15</f>
        <v>543</v>
      </c>
      <c r="F15" s="370">
        <f>'Town Branch Trail'!H15</f>
        <v>496</v>
      </c>
      <c r="G15" s="380">
        <f t="shared" si="1"/>
        <v>1039</v>
      </c>
      <c r="H15" s="373">
        <f>'Legacy Trail'!G15</f>
        <v>992</v>
      </c>
      <c r="I15" s="370">
        <f>'Town Branch Trail'!E15</f>
        <v>712</v>
      </c>
      <c r="J15" s="380">
        <f t="shared" si="2"/>
        <v>1704</v>
      </c>
      <c r="L15" s="539"/>
      <c r="M15" s="540"/>
    </row>
    <row r="16" spans="1:13" x14ac:dyDescent="0.25">
      <c r="A16" s="368" t="s">
        <v>14</v>
      </c>
      <c r="B16" s="369">
        <f>'Legacy Trail'!L16</f>
        <v>191</v>
      </c>
      <c r="C16" s="370">
        <f>'Town Branch Trail'!J16</f>
        <v>55</v>
      </c>
      <c r="D16" s="379">
        <f t="shared" si="0"/>
        <v>246</v>
      </c>
      <c r="E16" s="369">
        <f>'Legacy Trail'!J16</f>
        <v>418</v>
      </c>
      <c r="F16" s="370">
        <f>'Town Branch Trail'!H16</f>
        <v>399</v>
      </c>
      <c r="G16" s="380">
        <f t="shared" si="1"/>
        <v>817</v>
      </c>
      <c r="H16" s="373">
        <f>'Legacy Trail'!G16</f>
        <v>904</v>
      </c>
      <c r="I16" s="370">
        <f>'Town Branch Trail'!E16</f>
        <v>618</v>
      </c>
      <c r="J16" s="380">
        <f t="shared" si="2"/>
        <v>1522</v>
      </c>
      <c r="L16" s="539"/>
      <c r="M16" s="540"/>
    </row>
    <row r="17" spans="1:13" x14ac:dyDescent="0.25">
      <c r="A17" s="368" t="s">
        <v>15</v>
      </c>
      <c r="B17" s="369">
        <f>'Legacy Trail'!L17</f>
        <v>249</v>
      </c>
      <c r="C17" s="370">
        <f>'Town Branch Trail'!J17</f>
        <v>72</v>
      </c>
      <c r="D17" s="379">
        <f t="shared" si="0"/>
        <v>321</v>
      </c>
      <c r="E17" s="369">
        <f>'Legacy Trail'!J17</f>
        <v>390</v>
      </c>
      <c r="F17" s="370">
        <f>'Town Branch Trail'!H17</f>
        <v>192</v>
      </c>
      <c r="G17" s="380">
        <f t="shared" si="1"/>
        <v>582</v>
      </c>
      <c r="H17" s="373">
        <f>'Legacy Trail'!G17</f>
        <v>747</v>
      </c>
      <c r="I17" s="370">
        <f>'Town Branch Trail'!E17</f>
        <v>323</v>
      </c>
      <c r="J17" s="380">
        <f t="shared" si="2"/>
        <v>1070</v>
      </c>
      <c r="L17" s="539"/>
      <c r="M17" s="540"/>
    </row>
    <row r="18" spans="1:13" x14ac:dyDescent="0.25">
      <c r="A18" s="368" t="s">
        <v>16</v>
      </c>
      <c r="B18" s="369">
        <f>'Legacy Trail'!L18</f>
        <v>128</v>
      </c>
      <c r="C18" s="370">
        <f>'Town Branch Trail'!J18</f>
        <v>92</v>
      </c>
      <c r="D18" s="379">
        <f t="shared" si="0"/>
        <v>220</v>
      </c>
      <c r="E18" s="369">
        <f>'Legacy Trail'!J18</f>
        <v>229</v>
      </c>
      <c r="F18" s="370">
        <f>'Town Branch Trail'!H18</f>
        <v>151</v>
      </c>
      <c r="G18" s="380">
        <f t="shared" si="1"/>
        <v>380</v>
      </c>
      <c r="H18" s="373">
        <f>'Legacy Trail'!G18</f>
        <v>398</v>
      </c>
      <c r="I18" s="370">
        <f>'Town Branch Trail'!E18</f>
        <v>185</v>
      </c>
      <c r="J18" s="380">
        <f t="shared" si="2"/>
        <v>583</v>
      </c>
      <c r="L18" s="539"/>
      <c r="M18" s="540"/>
    </row>
    <row r="19" spans="1:13" x14ac:dyDescent="0.25">
      <c r="A19" s="368" t="s">
        <v>17</v>
      </c>
      <c r="B19" s="369">
        <f>'Legacy Trail'!L19</f>
        <v>108</v>
      </c>
      <c r="C19" s="370">
        <f>'Town Branch Trail'!J19</f>
        <v>8</v>
      </c>
      <c r="D19" s="379">
        <f t="shared" si="0"/>
        <v>116</v>
      </c>
      <c r="E19" s="369">
        <f>'Legacy Trail'!J19</f>
        <v>285</v>
      </c>
      <c r="F19" s="370">
        <f>'Town Branch Trail'!H19</f>
        <v>32</v>
      </c>
      <c r="G19" s="380">
        <f t="shared" si="1"/>
        <v>317</v>
      </c>
      <c r="H19" s="373">
        <f>'Legacy Trail'!G19</f>
        <v>399</v>
      </c>
      <c r="I19" s="370">
        <f>'Town Branch Trail'!E19</f>
        <v>90</v>
      </c>
      <c r="J19" s="380">
        <f t="shared" si="2"/>
        <v>489</v>
      </c>
      <c r="L19" s="539"/>
      <c r="M19" s="540"/>
    </row>
    <row r="20" spans="1:13" x14ac:dyDescent="0.25">
      <c r="A20" s="368" t="s">
        <v>18</v>
      </c>
      <c r="B20" s="369">
        <f>'Legacy Trail'!L20</f>
        <v>71</v>
      </c>
      <c r="C20" s="370">
        <f>'Town Branch Trail'!J20</f>
        <v>60</v>
      </c>
      <c r="D20" s="379">
        <f t="shared" si="0"/>
        <v>131</v>
      </c>
      <c r="E20" s="369">
        <f>'Legacy Trail'!J20</f>
        <v>174</v>
      </c>
      <c r="F20" s="370">
        <f>'Town Branch Trail'!H20</f>
        <v>60</v>
      </c>
      <c r="G20" s="380">
        <f t="shared" si="1"/>
        <v>234</v>
      </c>
      <c r="H20" s="373">
        <f>'Legacy Trail'!G20</f>
        <v>235</v>
      </c>
      <c r="I20" s="370">
        <f>'Town Branch Trail'!E20</f>
        <v>161</v>
      </c>
      <c r="J20" s="380">
        <f t="shared" si="2"/>
        <v>396</v>
      </c>
      <c r="L20" s="539"/>
      <c r="M20" s="540"/>
    </row>
    <row r="21" spans="1:13" x14ac:dyDescent="0.25">
      <c r="A21" s="368" t="s">
        <v>19</v>
      </c>
      <c r="B21" s="369">
        <f>'Legacy Trail'!L21</f>
        <v>99</v>
      </c>
      <c r="C21" s="370">
        <f>'Town Branch Trail'!J21</f>
        <v>47</v>
      </c>
      <c r="D21" s="379">
        <f t="shared" si="0"/>
        <v>146</v>
      </c>
      <c r="E21" s="369">
        <f>'Legacy Trail'!J21</f>
        <v>128</v>
      </c>
      <c r="F21" s="370">
        <f>'Town Branch Trail'!H21</f>
        <v>67</v>
      </c>
      <c r="G21" s="380">
        <f t="shared" si="1"/>
        <v>195</v>
      </c>
      <c r="H21" s="373">
        <f>'Legacy Trail'!G21</f>
        <v>220</v>
      </c>
      <c r="I21" s="370">
        <f>'Town Branch Trail'!E21</f>
        <v>76</v>
      </c>
      <c r="J21" s="380">
        <f t="shared" si="2"/>
        <v>296</v>
      </c>
      <c r="L21" s="539"/>
      <c r="M21" s="540"/>
    </row>
    <row r="22" spans="1:13" x14ac:dyDescent="0.25">
      <c r="A22" s="368" t="s">
        <v>29</v>
      </c>
      <c r="B22" s="369">
        <f>'Legacy Trail'!L22</f>
        <v>2710</v>
      </c>
      <c r="C22" s="370">
        <f>'Town Branch Trail'!J22</f>
        <v>3488</v>
      </c>
      <c r="D22" s="379">
        <f t="shared" si="0"/>
        <v>6198</v>
      </c>
      <c r="E22" s="369">
        <f>'Legacy Trail'!J22</f>
        <v>6252</v>
      </c>
      <c r="F22" s="370">
        <f>'Town Branch Trail'!H22</f>
        <v>6896</v>
      </c>
      <c r="G22" s="380">
        <f t="shared" si="1"/>
        <v>13148</v>
      </c>
      <c r="H22" s="373">
        <f>'Legacy Trail'!G22</f>
        <v>12758</v>
      </c>
      <c r="I22" s="370">
        <f>'Town Branch Trail'!E22</f>
        <v>10216</v>
      </c>
      <c r="J22" s="380">
        <f t="shared" si="2"/>
        <v>22974</v>
      </c>
      <c r="L22" s="539"/>
      <c r="M22" s="540"/>
    </row>
    <row r="23" spans="1:13" x14ac:dyDescent="0.25">
      <c r="A23" s="368" t="s">
        <v>21</v>
      </c>
      <c r="B23" s="369">
        <f>'Legacy Trail'!L23</f>
        <v>1603</v>
      </c>
      <c r="C23" s="370">
        <f>'Town Branch Trail'!J23</f>
        <v>2635</v>
      </c>
      <c r="D23" s="379">
        <f t="shared" si="0"/>
        <v>4238</v>
      </c>
      <c r="E23" s="369">
        <f>'Legacy Trail'!J23</f>
        <v>4025</v>
      </c>
      <c r="F23" s="370">
        <f>'Town Branch Trail'!H23</f>
        <v>4931</v>
      </c>
      <c r="G23" s="380">
        <f t="shared" si="1"/>
        <v>8956</v>
      </c>
      <c r="H23" s="373">
        <f>'Legacy Trail'!G23</f>
        <v>8471</v>
      </c>
      <c r="I23" s="370">
        <f>'Town Branch Trail'!E23</f>
        <v>7784</v>
      </c>
      <c r="J23" s="380">
        <f t="shared" si="2"/>
        <v>16255</v>
      </c>
      <c r="L23" s="539"/>
      <c r="M23" s="540"/>
    </row>
    <row r="24" spans="1:13" x14ac:dyDescent="0.25">
      <c r="A24" s="368" t="s">
        <v>22</v>
      </c>
      <c r="B24" s="369">
        <f>'Legacy Trail'!L24</f>
        <v>1803</v>
      </c>
      <c r="C24" s="370">
        <f>'Town Branch Trail'!J24</f>
        <v>1739</v>
      </c>
      <c r="D24" s="379">
        <f t="shared" si="0"/>
        <v>3542</v>
      </c>
      <c r="E24" s="369">
        <f>'Legacy Trail'!J24</f>
        <v>4965</v>
      </c>
      <c r="F24" s="370">
        <f>'Town Branch Trail'!H24</f>
        <v>4105</v>
      </c>
      <c r="G24" s="380">
        <f t="shared" si="1"/>
        <v>9070</v>
      </c>
      <c r="H24" s="373">
        <f>'Legacy Trail'!G24</f>
        <v>9364</v>
      </c>
      <c r="I24" s="370">
        <f>'Town Branch Trail'!E24</f>
        <v>4934</v>
      </c>
      <c r="J24" s="380">
        <f t="shared" si="2"/>
        <v>14298</v>
      </c>
      <c r="L24" s="539"/>
      <c r="M24" s="540"/>
    </row>
    <row r="25" spans="1:13" x14ac:dyDescent="0.25">
      <c r="A25" s="368" t="s">
        <v>507</v>
      </c>
      <c r="B25" s="369">
        <f>'Legacy Trail'!L25</f>
        <v>1726</v>
      </c>
      <c r="C25" s="370">
        <f>'Town Branch Trail'!J25</f>
        <v>3072</v>
      </c>
      <c r="D25" s="379">
        <f t="shared" si="0"/>
        <v>4798</v>
      </c>
      <c r="E25" s="369">
        <f>'Legacy Trail'!J25</f>
        <v>3156</v>
      </c>
      <c r="F25" s="370">
        <f>'Town Branch Trail'!H25</f>
        <v>6838</v>
      </c>
      <c r="G25" s="380">
        <f t="shared" si="1"/>
        <v>9994</v>
      </c>
      <c r="H25" s="373">
        <f>'Legacy Trail'!G25</f>
        <v>8881</v>
      </c>
      <c r="I25" s="370">
        <f>'Town Branch Trail'!E25</f>
        <v>9365</v>
      </c>
      <c r="J25" s="380">
        <f t="shared" si="2"/>
        <v>18246</v>
      </c>
      <c r="L25" s="539"/>
      <c r="M25" s="540"/>
    </row>
    <row r="26" spans="1:13" x14ac:dyDescent="0.25">
      <c r="A26" s="368" t="s">
        <v>30</v>
      </c>
      <c r="B26" s="369">
        <f>'Legacy Trail'!L26</f>
        <v>1680</v>
      </c>
      <c r="C26" s="370">
        <f>'Town Branch Trail'!J26</f>
        <v>1302</v>
      </c>
      <c r="D26" s="379">
        <f t="shared" si="0"/>
        <v>2982</v>
      </c>
      <c r="E26" s="369">
        <f>'Legacy Trail'!J26</f>
        <v>5834</v>
      </c>
      <c r="F26" s="370">
        <f>'Town Branch Trail'!H26</f>
        <v>2198</v>
      </c>
      <c r="G26" s="380">
        <f t="shared" si="1"/>
        <v>8032</v>
      </c>
      <c r="H26" s="373">
        <f>'Legacy Trail'!G26</f>
        <v>8954</v>
      </c>
      <c r="I26" s="370">
        <f>'Town Branch Trail'!E26</f>
        <v>3353</v>
      </c>
      <c r="J26" s="380">
        <f t="shared" si="2"/>
        <v>12307</v>
      </c>
      <c r="L26" s="539"/>
      <c r="M26" s="540"/>
    </row>
    <row r="27" spans="1:13" x14ac:dyDescent="0.25">
      <c r="A27" s="368" t="s">
        <v>24</v>
      </c>
      <c r="B27" s="369">
        <f>'Legacy Trail'!L27</f>
        <v>277</v>
      </c>
      <c r="C27" s="370">
        <f>'Town Branch Trail'!J27</f>
        <v>308</v>
      </c>
      <c r="D27" s="379">
        <f t="shared" si="0"/>
        <v>585</v>
      </c>
      <c r="E27" s="369">
        <f>'Legacy Trail'!J27</f>
        <v>2000</v>
      </c>
      <c r="F27" s="370">
        <f>'Town Branch Trail'!H27</f>
        <v>474</v>
      </c>
      <c r="G27" s="380">
        <f t="shared" si="1"/>
        <v>2474</v>
      </c>
      <c r="H27" s="373">
        <f>'Legacy Trail'!G27</f>
        <v>2576</v>
      </c>
      <c r="I27" s="370">
        <f>'Town Branch Trail'!E27</f>
        <v>873</v>
      </c>
      <c r="J27" s="380">
        <f t="shared" si="2"/>
        <v>3449</v>
      </c>
      <c r="L27" s="539"/>
      <c r="M27" s="540"/>
    </row>
    <row r="28" spans="1:13" x14ac:dyDescent="0.25">
      <c r="A28" s="368" t="s">
        <v>508</v>
      </c>
      <c r="B28" s="369">
        <f>'Legacy Trail'!L28</f>
        <v>1439</v>
      </c>
      <c r="C28" s="370">
        <f>'Town Branch Trail'!J28</f>
        <v>1076</v>
      </c>
      <c r="D28" s="379">
        <f t="shared" si="0"/>
        <v>2515</v>
      </c>
      <c r="E28" s="369">
        <f>'Legacy Trail'!J28</f>
        <v>3607</v>
      </c>
      <c r="F28" s="370">
        <f>'Town Branch Trail'!H28</f>
        <v>3109</v>
      </c>
      <c r="G28" s="380">
        <f t="shared" si="1"/>
        <v>6716</v>
      </c>
      <c r="H28" s="373">
        <f>'Legacy Trail'!G28</f>
        <v>6885</v>
      </c>
      <c r="I28" s="370">
        <f>'Town Branch Trail'!E28</f>
        <v>3619</v>
      </c>
      <c r="J28" s="380">
        <f t="shared" si="2"/>
        <v>10504</v>
      </c>
      <c r="L28" s="539"/>
      <c r="M28" s="540"/>
    </row>
    <row r="29" spans="1:13" x14ac:dyDescent="0.25">
      <c r="A29" s="368" t="s">
        <v>25</v>
      </c>
      <c r="B29" s="369">
        <f>'Legacy Trail'!L29</f>
        <v>2.2599999999999998</v>
      </c>
      <c r="C29" s="370">
        <f>'Town Branch Trail'!J29</f>
        <v>2.82</v>
      </c>
      <c r="D29" s="379"/>
      <c r="E29" s="369">
        <f>'Legacy Trail'!J29</f>
        <v>2.4523371222622679</v>
      </c>
      <c r="F29" s="370">
        <f>'Town Branch Trail'!H29</f>
        <v>2.4734287552267609</v>
      </c>
      <c r="G29" s="380"/>
      <c r="H29" s="373">
        <f>'Legacy Trail'!G29</f>
        <v>2.5675628177196801</v>
      </c>
      <c r="I29" s="370">
        <f>'Town Branch Trail'!E29</f>
        <v>2.4588532743851892</v>
      </c>
      <c r="J29" s="380"/>
    </row>
    <row r="30" spans="1:13" x14ac:dyDescent="0.25">
      <c r="A30" s="368" t="s">
        <v>509</v>
      </c>
      <c r="B30" s="369">
        <f>'Legacy Trail'!L30</f>
        <v>941</v>
      </c>
      <c r="C30" s="370">
        <f>'Town Branch Trail'!J30</f>
        <v>769</v>
      </c>
      <c r="D30" s="379">
        <f t="shared" si="0"/>
        <v>1710</v>
      </c>
      <c r="E30" s="369">
        <f>'Legacy Trail'!J30</f>
        <v>2125</v>
      </c>
      <c r="F30" s="370">
        <f>'Town Branch Trail'!H30</f>
        <v>1935</v>
      </c>
      <c r="G30" s="380">
        <f t="shared" si="1"/>
        <v>4060</v>
      </c>
      <c r="H30" s="373">
        <f>'Legacy Trail'!G30</f>
        <v>4460</v>
      </c>
      <c r="I30" s="370">
        <f>'Town Branch Trail'!E30</f>
        <v>2280</v>
      </c>
      <c r="J30" s="380">
        <f t="shared" si="2"/>
        <v>6740</v>
      </c>
    </row>
    <row r="31" spans="1:13" x14ac:dyDescent="0.25">
      <c r="A31" s="368" t="s">
        <v>26</v>
      </c>
      <c r="B31" s="369">
        <f>'Legacy Trail'!L31</f>
        <v>2.81</v>
      </c>
      <c r="C31" s="370">
        <f>'Town Branch Trail'!J31</f>
        <v>3.3</v>
      </c>
      <c r="D31" s="379"/>
      <c r="E31" s="369">
        <f>'Legacy Trail'!J31</f>
        <v>3.2668847058823531</v>
      </c>
      <c r="F31" s="370">
        <f>'Town Branch Trail'!H31</f>
        <v>3.1011472868217056</v>
      </c>
      <c r="G31" s="380"/>
      <c r="H31" s="373">
        <f>'Legacy Trail'!G31</f>
        <v>3.2103206278026901</v>
      </c>
      <c r="I31" s="370">
        <f>'Town Branch Trail'!E31</f>
        <v>3.0797894736842104</v>
      </c>
      <c r="J31" s="380"/>
    </row>
    <row r="32" spans="1:13" x14ac:dyDescent="0.25">
      <c r="A32" s="368" t="s">
        <v>23</v>
      </c>
      <c r="B32" s="369">
        <f>'Legacy Trail'!L32</f>
        <v>1542</v>
      </c>
      <c r="C32" s="370">
        <f>'Town Branch Trail'!J32</f>
        <v>1188</v>
      </c>
      <c r="D32" s="379">
        <f t="shared" si="0"/>
        <v>2730</v>
      </c>
      <c r="E32" s="369">
        <f>'Legacy Trail'!J32</f>
        <v>4019</v>
      </c>
      <c r="F32" s="370">
        <f>'Town Branch Trail'!H32</f>
        <v>3320</v>
      </c>
      <c r="G32" s="380">
        <f t="shared" si="1"/>
        <v>7339</v>
      </c>
      <c r="H32" s="373">
        <f>'Legacy Trail'!G32</f>
        <v>7738</v>
      </c>
      <c r="I32" s="370">
        <f>'Town Branch Trail'!E32</f>
        <v>3841</v>
      </c>
      <c r="J32" s="380">
        <f t="shared" si="2"/>
        <v>11579</v>
      </c>
    </row>
    <row r="33" spans="1:10" x14ac:dyDescent="0.25">
      <c r="A33" s="368" t="s">
        <v>27</v>
      </c>
      <c r="B33" s="369">
        <f>'Legacy Trail'!L33</f>
        <v>1439</v>
      </c>
      <c r="C33" s="370">
        <f>'Town Branch Trail'!J33</f>
        <v>1076</v>
      </c>
      <c r="D33" s="379">
        <f t="shared" si="0"/>
        <v>2515</v>
      </c>
      <c r="E33" s="369">
        <f>'Legacy Trail'!J33</f>
        <v>3607</v>
      </c>
      <c r="F33" s="370">
        <f>'Town Branch Trail'!H33</f>
        <v>3109</v>
      </c>
      <c r="G33" s="380">
        <f t="shared" si="1"/>
        <v>6716</v>
      </c>
      <c r="H33" s="373">
        <f>'Legacy Trail'!G33</f>
        <v>6885</v>
      </c>
      <c r="I33" s="370">
        <f>'Town Branch Trail'!E33</f>
        <v>3619</v>
      </c>
      <c r="J33" s="380">
        <f t="shared" si="2"/>
        <v>10504</v>
      </c>
    </row>
    <row r="34" spans="1:10" x14ac:dyDescent="0.25">
      <c r="A34" s="368" t="s">
        <v>28</v>
      </c>
      <c r="B34" s="369">
        <f>'Legacy Trail'!L34</f>
        <v>103</v>
      </c>
      <c r="C34" s="370">
        <f>'Town Branch Trail'!J34</f>
        <v>112</v>
      </c>
      <c r="D34" s="379">
        <f t="shared" si="0"/>
        <v>215</v>
      </c>
      <c r="E34" s="369">
        <f>'Legacy Trail'!J34</f>
        <v>412</v>
      </c>
      <c r="F34" s="370">
        <f>'Town Branch Trail'!H34</f>
        <v>211</v>
      </c>
      <c r="G34" s="380">
        <f t="shared" si="1"/>
        <v>623</v>
      </c>
      <c r="H34" s="373">
        <f>'Legacy Trail'!G34</f>
        <v>853</v>
      </c>
      <c r="I34" s="370">
        <f>'Town Branch Trail'!E34</f>
        <v>222</v>
      </c>
      <c r="J34" s="380">
        <f t="shared" si="2"/>
        <v>1075</v>
      </c>
    </row>
    <row r="35" spans="1:10" x14ac:dyDescent="0.25">
      <c r="A35" s="368" t="s">
        <v>670</v>
      </c>
      <c r="B35" s="381">
        <f>'Legacy Trail'!L35</f>
        <v>136600</v>
      </c>
      <c r="C35" s="382">
        <f>'Town Branch Trail'!J35</f>
        <v>141000</v>
      </c>
      <c r="D35" s="383">
        <f>((B35*B32)+(C35*C32))/D32</f>
        <v>138514.72527472526</v>
      </c>
      <c r="E35" s="381">
        <f>'Legacy Trail'!J35</f>
        <v>99867.180890768854</v>
      </c>
      <c r="F35" s="382">
        <f>'Town Branch Trail'!H35</f>
        <v>155127.7108433735</v>
      </c>
      <c r="G35" s="384">
        <f>((E35*E32)+(F35*F32))/G32</f>
        <v>124865.81278103284</v>
      </c>
      <c r="H35" s="385">
        <f>'Legacy Trail'!G35</f>
        <v>131199.01783406566</v>
      </c>
      <c r="I35" s="382">
        <f>'Town Branch Trail'!E35</f>
        <v>182550.71595938559</v>
      </c>
      <c r="J35" s="384">
        <f>((H35*H32)+(I35*I32))/J32</f>
        <v>148233.46575697383</v>
      </c>
    </row>
    <row r="36" spans="1:10" x14ac:dyDescent="0.25">
      <c r="A36" s="377" t="s">
        <v>46</v>
      </c>
      <c r="B36" s="369">
        <f>'Legacy Trail'!L36</f>
        <v>1811</v>
      </c>
      <c r="C36" s="370">
        <f>'Town Branch Trail'!J36</f>
        <v>2558</v>
      </c>
      <c r="D36" s="379">
        <f t="shared" si="0"/>
        <v>4369</v>
      </c>
      <c r="E36" s="369">
        <f>'Legacy Trail'!J36</f>
        <v>3844</v>
      </c>
      <c r="F36" s="370">
        <f>'Town Branch Trail'!H36</f>
        <v>5132</v>
      </c>
      <c r="G36" s="380">
        <f t="shared" si="1"/>
        <v>8976</v>
      </c>
      <c r="H36" s="373">
        <f>'Legacy Trail'!G36</f>
        <v>8552</v>
      </c>
      <c r="I36" s="370">
        <f>'Town Branch Trail'!E36</f>
        <v>6811</v>
      </c>
      <c r="J36" s="380">
        <f t="shared" si="2"/>
        <v>15363</v>
      </c>
    </row>
    <row r="37" spans="1:10" x14ac:dyDescent="0.25">
      <c r="A37" s="377" t="s">
        <v>424</v>
      </c>
      <c r="B37" s="374"/>
      <c r="C37" s="375"/>
      <c r="D37" s="371"/>
      <c r="E37" s="374"/>
      <c r="F37" s="375"/>
      <c r="G37" s="372"/>
      <c r="H37" s="376"/>
      <c r="I37" s="375"/>
      <c r="J37" s="372"/>
    </row>
    <row r="38" spans="1:10" x14ac:dyDescent="0.25">
      <c r="A38" s="377" t="s">
        <v>425</v>
      </c>
      <c r="B38" s="386">
        <f>'Legacy Trail'!L38</f>
        <v>0.98099999999999998</v>
      </c>
      <c r="C38" s="387">
        <f>'Town Branch Trail'!J38</f>
        <v>0.95599999999999996</v>
      </c>
      <c r="D38" s="388">
        <f>((B38*$B$36)+(C38*$C$36))/$D$36</f>
        <v>0.96636278324559388</v>
      </c>
      <c r="E38" s="386">
        <f>'Legacy Trail'!J38</f>
        <v>0.94292091571279912</v>
      </c>
      <c r="F38" s="387">
        <f>'Town Branch Trail'!H38</f>
        <v>0.9625202650038972</v>
      </c>
      <c r="G38" s="389">
        <f>((E38*$E$36)+(F38*$F$36))/$G$36</f>
        <v>0.95412678253119432</v>
      </c>
      <c r="H38" s="390">
        <f>'Legacy Trail'!G38</f>
        <v>0.94189745088868104</v>
      </c>
      <c r="I38" s="387">
        <f>'Town Branch Trail'!E38</f>
        <v>0.960912934958156</v>
      </c>
      <c r="J38" s="389">
        <f>((H38*$H$36)+(I38*$I$36))/$J$36</f>
        <v>0.95032773546833305</v>
      </c>
    </row>
    <row r="39" spans="1:10" x14ac:dyDescent="0.25">
      <c r="A39" s="377" t="s">
        <v>33</v>
      </c>
      <c r="B39" s="386">
        <f>'Legacy Trail'!L39</f>
        <v>0.90900000000000003</v>
      </c>
      <c r="C39" s="387">
        <f>'Town Branch Trail'!J39</f>
        <v>0.81899999999999995</v>
      </c>
      <c r="D39" s="388">
        <f t="shared" ref="D39:D60" si="3">((B39*$B$36)+(C39*$C$36))/$D$36</f>
        <v>0.85630601968413822</v>
      </c>
      <c r="E39" s="386">
        <f>'Legacy Trail'!J39</f>
        <v>0.81062903225806449</v>
      </c>
      <c r="F39" s="387">
        <f>'Town Branch Trail'!H39</f>
        <v>0.86414029618082622</v>
      </c>
      <c r="G39" s="389">
        <f t="shared" ref="G39:G60" si="4">((E39*$E$36)+(F39*$F$36))/$G$36</f>
        <v>0.84122393048128341</v>
      </c>
      <c r="H39" s="390">
        <f>'Legacy Trail'!G39</f>
        <v>0.83523550046772688</v>
      </c>
      <c r="I39" s="387">
        <f>'Town Branch Trail'!E39</f>
        <v>0.84118000293642636</v>
      </c>
      <c r="J39" s="389">
        <f t="shared" ref="J39:J60" si="5">((H39*$H$36)+(I39*$I$36))/$J$36</f>
        <v>0.83787092364772497</v>
      </c>
    </row>
    <row r="40" spans="1:10" x14ac:dyDescent="0.25">
      <c r="A40" s="377" t="s">
        <v>426</v>
      </c>
      <c r="B40" s="386">
        <f>'Legacy Trail'!L40</f>
        <v>7.1999999999999995E-2</v>
      </c>
      <c r="C40" s="387">
        <f>'Town Branch Trail'!J40</f>
        <v>0.13700000000000001</v>
      </c>
      <c r="D40" s="388">
        <f t="shared" si="3"/>
        <v>0.11005676356145572</v>
      </c>
      <c r="E40" s="386">
        <f>'Legacy Trail'!J40</f>
        <v>0.13282075962539022</v>
      </c>
      <c r="F40" s="387">
        <f>'Town Branch Trail'!H40</f>
        <v>9.78784099766173E-2</v>
      </c>
      <c r="G40" s="389">
        <f t="shared" si="4"/>
        <v>0.11284258021390374</v>
      </c>
      <c r="H40" s="390">
        <f>'Legacy Trail'!G40</f>
        <v>0.10659869036482693</v>
      </c>
      <c r="I40" s="387">
        <f>'Town Branch Trail'!E40</f>
        <v>0.11935501394802525</v>
      </c>
      <c r="J40" s="389">
        <f t="shared" si="5"/>
        <v>0.11225405194297988</v>
      </c>
    </row>
    <row r="41" spans="1:10" x14ac:dyDescent="0.25">
      <c r="A41" s="377" t="s">
        <v>35</v>
      </c>
      <c r="B41" s="386">
        <f>'Legacy Trail'!L41</f>
        <v>6.6000000000000003E-2</v>
      </c>
      <c r="C41" s="387">
        <f>'Town Branch Trail'!J41</f>
        <v>0.109</v>
      </c>
      <c r="D41" s="388">
        <f t="shared" si="3"/>
        <v>9.1176012817578395E-2</v>
      </c>
      <c r="E41" s="386">
        <f>'Legacy Trail'!J41</f>
        <v>8.556841831425599E-2</v>
      </c>
      <c r="F41" s="387">
        <f>'Town Branch Trail'!H41</f>
        <v>7.7903351519875291E-2</v>
      </c>
      <c r="G41" s="389">
        <f t="shared" si="4"/>
        <v>8.1185940285204997E-2</v>
      </c>
      <c r="H41" s="390">
        <f>'Legacy Trail'!G41</f>
        <v>7.5831384471468657E-2</v>
      </c>
      <c r="I41" s="387">
        <f>'Town Branch Trail'!E41</f>
        <v>0.1043040669505212</v>
      </c>
      <c r="J41" s="389">
        <f t="shared" si="5"/>
        <v>8.8454403436828741E-2</v>
      </c>
    </row>
    <row r="42" spans="1:10" x14ac:dyDescent="0.25">
      <c r="A42" s="377" t="s">
        <v>36</v>
      </c>
      <c r="B42" s="386">
        <f>'Legacy Trail'!L42</f>
        <v>7.0000000000000001E-3</v>
      </c>
      <c r="C42" s="387">
        <f>'Town Branch Trail'!J42</f>
        <v>2.3E-2</v>
      </c>
      <c r="D42" s="388">
        <f t="shared" si="3"/>
        <v>1.6367818722819866E-2</v>
      </c>
      <c r="E42" s="386">
        <f>'Legacy Trail'!J42</f>
        <v>2.1808532778355878E-2</v>
      </c>
      <c r="F42" s="387">
        <f>'Town Branch Trail'!H42</f>
        <v>1.4473499610288385E-2</v>
      </c>
      <c r="G42" s="389">
        <f t="shared" si="4"/>
        <v>1.7614750445632796E-2</v>
      </c>
      <c r="H42" s="390">
        <f>'Legacy Trail'!G42</f>
        <v>1.7411014967259122E-2</v>
      </c>
      <c r="I42" s="387">
        <f>'Town Branch Trail'!E42</f>
        <v>1.0905593892233152E-2</v>
      </c>
      <c r="J42" s="389">
        <f t="shared" si="5"/>
        <v>1.4526915316019007E-2</v>
      </c>
    </row>
    <row r="43" spans="1:10" x14ac:dyDescent="0.25">
      <c r="A43" s="377" t="s">
        <v>427</v>
      </c>
      <c r="B43" s="386">
        <f>'Legacy Trail'!L43</f>
        <v>0</v>
      </c>
      <c r="C43" s="387">
        <f>'Town Branch Trail'!J43</f>
        <v>5.0000000000000001E-3</v>
      </c>
      <c r="D43" s="388">
        <f t="shared" si="3"/>
        <v>2.9274433508812087E-3</v>
      </c>
      <c r="E43" s="386">
        <f>'Legacy Trail'!J43</f>
        <v>2.5914932362122788E-2</v>
      </c>
      <c r="F43" s="387">
        <f>'Town Branch Trail'!H43</f>
        <v>6.0031176929072486E-3</v>
      </c>
      <c r="G43" s="389">
        <f t="shared" si="4"/>
        <v>1.4530414438502675E-2</v>
      </c>
      <c r="H43" s="390">
        <f>'Legacy Trail'!G43</f>
        <v>1.3755261927034612E-2</v>
      </c>
      <c r="I43" s="387">
        <f>'Town Branch Trail'!E43</f>
        <v>4.5232711789751868E-3</v>
      </c>
      <c r="J43" s="389">
        <f t="shared" si="5"/>
        <v>9.6623706307361855E-3</v>
      </c>
    </row>
    <row r="44" spans="1:10" x14ac:dyDescent="0.25">
      <c r="A44" s="377" t="s">
        <v>428</v>
      </c>
      <c r="B44" s="391">
        <f>'Legacy Trail'!L44</f>
        <v>1.04</v>
      </c>
      <c r="C44" s="392">
        <f>'Town Branch Trail'!J44</f>
        <v>1.08</v>
      </c>
      <c r="D44" s="393">
        <f t="shared" si="3"/>
        <v>1.0634195468070498</v>
      </c>
      <c r="E44" s="391">
        <f>'Legacy Trail'!J44</f>
        <v>1.0928876170655566</v>
      </c>
      <c r="F44" s="392">
        <f>'Town Branch Trail'!H44</f>
        <v>1.0549220576773188</v>
      </c>
      <c r="G44" s="394">
        <f t="shared" si="4"/>
        <v>1.0711809269162211</v>
      </c>
      <c r="H44" s="395">
        <f>'Legacy Trail'!G44</f>
        <v>1.0682483629560338</v>
      </c>
      <c r="I44" s="392">
        <f>'Town Branch Trail'!E44</f>
        <v>1.0684994861253854</v>
      </c>
      <c r="J44" s="394">
        <f t="shared" si="5"/>
        <v>1.0683596953719976</v>
      </c>
    </row>
    <row r="45" spans="1:10" x14ac:dyDescent="0.25">
      <c r="A45" s="377" t="s">
        <v>429</v>
      </c>
      <c r="B45" s="386">
        <f>'Legacy Trail'!L45</f>
        <v>0</v>
      </c>
      <c r="C45" s="387">
        <f>'Town Branch Trail'!J45</f>
        <v>0</v>
      </c>
      <c r="D45" s="388">
        <f t="shared" si="3"/>
        <v>0</v>
      </c>
      <c r="E45" s="386">
        <f>'Legacy Trail'!J45</f>
        <v>1.5866285119667013E-2</v>
      </c>
      <c r="F45" s="387">
        <f>'Town Branch Trail'!H45</f>
        <v>0</v>
      </c>
      <c r="G45" s="389">
        <f t="shared" si="4"/>
        <v>6.7947860962566846E-3</v>
      </c>
      <c r="H45" s="390">
        <f>'Legacy Trail'!G45</f>
        <v>1.2154700654817586E-2</v>
      </c>
      <c r="I45" s="387">
        <f>'Town Branch Trail'!E45</f>
        <v>2.711642930553516E-3</v>
      </c>
      <c r="J45" s="389">
        <f t="shared" si="5"/>
        <v>7.9682353706958271E-3</v>
      </c>
    </row>
    <row r="46" spans="1:10" x14ac:dyDescent="0.25">
      <c r="A46" s="377" t="s">
        <v>41</v>
      </c>
      <c r="B46" s="386">
        <f>'Legacy Trail'!L46</f>
        <v>0</v>
      </c>
      <c r="C46" s="387">
        <f>'Town Branch Trail'!J46</f>
        <v>4.0000000000000001E-3</v>
      </c>
      <c r="D46" s="388">
        <f t="shared" si="3"/>
        <v>2.341954680704967E-3</v>
      </c>
      <c r="E46" s="386">
        <f>'Legacy Trail'!J46</f>
        <v>1.6924037460978147E-2</v>
      </c>
      <c r="F46" s="387">
        <f>'Town Branch Trail'!H46</f>
        <v>1.9937646141855031E-3</v>
      </c>
      <c r="G46" s="389">
        <f t="shared" si="4"/>
        <v>8.387700534759358E-3</v>
      </c>
      <c r="H46" s="390">
        <f>'Legacy Trail'!G46</f>
        <v>1.1020346117867164E-2</v>
      </c>
      <c r="I46" s="387">
        <f>'Town Branch Trail'!E46</f>
        <v>1.5022757304360595E-3</v>
      </c>
      <c r="J46" s="389">
        <f t="shared" si="5"/>
        <v>6.800624877953524E-3</v>
      </c>
    </row>
    <row r="47" spans="1:10" x14ac:dyDescent="0.25">
      <c r="A47" s="377" t="s">
        <v>40</v>
      </c>
      <c r="B47" s="386">
        <f>'Legacy Trail'!L47</f>
        <v>0</v>
      </c>
      <c r="C47" s="387">
        <f>'Town Branch Trail'!J47</f>
        <v>0</v>
      </c>
      <c r="D47" s="388">
        <f t="shared" si="3"/>
        <v>0</v>
      </c>
      <c r="E47" s="386">
        <f>'Legacy Trail'!J47</f>
        <v>0</v>
      </c>
      <c r="F47" s="387">
        <f>'Town Branch Trail'!H47</f>
        <v>0</v>
      </c>
      <c r="G47" s="389">
        <f t="shared" si="4"/>
        <v>0</v>
      </c>
      <c r="H47" s="390">
        <f>'Legacy Trail'!G47</f>
        <v>0</v>
      </c>
      <c r="I47" s="387">
        <f>'Town Branch Trail'!E47</f>
        <v>0</v>
      </c>
      <c r="J47" s="389">
        <f t="shared" si="5"/>
        <v>0</v>
      </c>
    </row>
    <row r="48" spans="1:10" x14ac:dyDescent="0.25">
      <c r="A48" s="377" t="s">
        <v>430</v>
      </c>
      <c r="B48" s="386">
        <f>'Legacy Trail'!L48</f>
        <v>0</v>
      </c>
      <c r="C48" s="387">
        <f>'Town Branch Trail'!J48</f>
        <v>2.1000000000000001E-2</v>
      </c>
      <c r="D48" s="388">
        <f t="shared" si="3"/>
        <v>1.2295262073701076E-2</v>
      </c>
      <c r="E48" s="386">
        <f>'Legacy Trail'!J48</f>
        <v>2.1155046826222684E-3</v>
      </c>
      <c r="F48" s="387">
        <f>'Town Branch Trail'!H48</f>
        <v>1.397817614964926E-2</v>
      </c>
      <c r="G48" s="389">
        <f t="shared" si="4"/>
        <v>8.8979500891265603E-3</v>
      </c>
      <c r="H48" s="390">
        <f>'Legacy Trail'!G48</f>
        <v>5.6410196445275968E-3</v>
      </c>
      <c r="I48" s="387">
        <f>'Town Branch Trail'!E48</f>
        <v>1.3490530024959623E-2</v>
      </c>
      <c r="J48" s="389">
        <f t="shared" si="5"/>
        <v>9.1210050120419193E-3</v>
      </c>
    </row>
    <row r="49" spans="1:10" x14ac:dyDescent="0.25">
      <c r="A49" s="377" t="s">
        <v>42</v>
      </c>
      <c r="B49" s="386">
        <f>'Legacy Trail'!L49</f>
        <v>1.9E-2</v>
      </c>
      <c r="C49" s="387">
        <f>'Town Branch Trail'!J49</f>
        <v>0.02</v>
      </c>
      <c r="D49" s="388">
        <f t="shared" si="3"/>
        <v>1.9585488670176242E-2</v>
      </c>
      <c r="E49" s="386">
        <f>'Legacy Trail'!J49</f>
        <v>2.1644380853277835E-2</v>
      </c>
      <c r="F49" s="387">
        <f>'Town Branch Trail'!H49</f>
        <v>2.2507794232268126E-2</v>
      </c>
      <c r="G49" s="389">
        <f t="shared" si="4"/>
        <v>2.2138034759358289E-2</v>
      </c>
      <c r="H49" s="390">
        <f>'Legacy Trail'!G49</f>
        <v>2.9349742750233866E-2</v>
      </c>
      <c r="I49" s="387">
        <f>'Town Branch Trail'!E49</f>
        <v>2.2136103362208195E-2</v>
      </c>
      <c r="J49" s="389">
        <f t="shared" si="5"/>
        <v>2.6151663086636728E-2</v>
      </c>
    </row>
    <row r="50" spans="1:10" x14ac:dyDescent="0.25">
      <c r="A50" s="377" t="s">
        <v>87</v>
      </c>
      <c r="B50" s="386"/>
      <c r="C50" s="387"/>
      <c r="D50" s="388"/>
      <c r="E50" s="386"/>
      <c r="F50" s="387"/>
      <c r="G50" s="389"/>
      <c r="H50" s="390"/>
      <c r="I50" s="387"/>
      <c r="J50" s="389"/>
    </row>
    <row r="51" spans="1:10" x14ac:dyDescent="0.25">
      <c r="A51" s="377" t="s">
        <v>431</v>
      </c>
      <c r="B51" s="386">
        <f>'Legacy Trail'!L51</f>
        <v>0.13700000000000001</v>
      </c>
      <c r="C51" s="387">
        <f>'Town Branch Trail'!J51</f>
        <v>0.108</v>
      </c>
      <c r="D51" s="388">
        <f t="shared" si="3"/>
        <v>0.12002082856488901</v>
      </c>
      <c r="E51" s="386">
        <f>'Legacy Trail'!J51</f>
        <v>0.16132830385015606</v>
      </c>
      <c r="F51" s="387">
        <f>'Town Branch Trail'!H51</f>
        <v>8.643296960249415E-2</v>
      </c>
      <c r="G51" s="389">
        <f t="shared" si="4"/>
        <v>0.11850713012477716</v>
      </c>
      <c r="H51" s="390">
        <f>'Legacy Trail'!G51</f>
        <v>0.13861307296538819</v>
      </c>
      <c r="I51" s="387">
        <f>'Town Branch Trail'!E51</f>
        <v>9.1256496843341653E-2</v>
      </c>
      <c r="J51" s="389">
        <f t="shared" si="5"/>
        <v>0.11761810844236151</v>
      </c>
    </row>
    <row r="52" spans="1:10" x14ac:dyDescent="0.25">
      <c r="A52" s="377" t="s">
        <v>432</v>
      </c>
      <c r="B52" s="386">
        <f>'Legacy Trail'!L52</f>
        <v>0.16</v>
      </c>
      <c r="C52" s="387">
        <f>'Town Branch Trail'!J52</f>
        <v>0.14099999999999999</v>
      </c>
      <c r="D52" s="388">
        <f t="shared" si="3"/>
        <v>0.14887571526665139</v>
      </c>
      <c r="E52" s="386">
        <f>'Legacy Trail'!J52</f>
        <v>0.19437695109261185</v>
      </c>
      <c r="F52" s="387">
        <f>'Town Branch Trail'!H52</f>
        <v>0.15253585346843335</v>
      </c>
      <c r="G52" s="389">
        <f t="shared" si="4"/>
        <v>0.17045443404634578</v>
      </c>
      <c r="H52" s="390">
        <f>'Legacy Trail'!G52</f>
        <v>0.16643931244153412</v>
      </c>
      <c r="I52" s="387">
        <f>'Town Branch Trail'!E52</f>
        <v>0.15338981060049917</v>
      </c>
      <c r="J52" s="389">
        <f t="shared" si="5"/>
        <v>0.16065397383323565</v>
      </c>
    </row>
    <row r="53" spans="1:10" x14ac:dyDescent="0.25">
      <c r="A53" s="377" t="s">
        <v>433</v>
      </c>
      <c r="B53" s="386">
        <f>'Legacy Trail'!L53</f>
        <v>0.24099999999999999</v>
      </c>
      <c r="C53" s="387">
        <f>'Town Branch Trail'!J53</f>
        <v>0.26600000000000001</v>
      </c>
      <c r="D53" s="388">
        <f t="shared" si="3"/>
        <v>0.25563721675440604</v>
      </c>
      <c r="E53" s="386">
        <f>'Legacy Trail'!J53</f>
        <v>0.22248933402705515</v>
      </c>
      <c r="F53" s="387">
        <f>'Town Branch Trail'!H53</f>
        <v>0.26449532346063909</v>
      </c>
      <c r="G53" s="389">
        <f t="shared" si="4"/>
        <v>0.24650612745098041</v>
      </c>
      <c r="H53" s="390">
        <f>'Legacy Trail'!G53</f>
        <v>0.23440399906454631</v>
      </c>
      <c r="I53" s="387">
        <f>'Town Branch Trail'!E53</f>
        <v>0.24366612832183232</v>
      </c>
      <c r="J53" s="389">
        <f t="shared" si="5"/>
        <v>0.23851025190392502</v>
      </c>
    </row>
    <row r="54" spans="1:10" x14ac:dyDescent="0.25">
      <c r="A54" s="377" t="s">
        <v>434</v>
      </c>
      <c r="B54" s="386">
        <f>'Legacy Trail'!L54</f>
        <v>0.16300000000000001</v>
      </c>
      <c r="C54" s="387">
        <f>'Town Branch Trail'!J54</f>
        <v>0.22500000000000001</v>
      </c>
      <c r="D54" s="388">
        <f t="shared" si="3"/>
        <v>0.19930029755092699</v>
      </c>
      <c r="E54" s="386">
        <f>'Legacy Trail'!J54</f>
        <v>0.14501821019771072</v>
      </c>
      <c r="F54" s="387">
        <f>'Town Branch Trail'!H54</f>
        <v>0.24506235385814498</v>
      </c>
      <c r="G54" s="389">
        <f t="shared" si="4"/>
        <v>0.20221813725490198</v>
      </c>
      <c r="H54" s="390">
        <f>'Legacy Trail'!G54</f>
        <v>0.19564405986903649</v>
      </c>
      <c r="I54" s="387">
        <f>'Town Branch Trail'!E54</f>
        <v>0.24356790485978569</v>
      </c>
      <c r="J54" s="389">
        <f t="shared" si="5"/>
        <v>0.21689051617522623</v>
      </c>
    </row>
    <row r="55" spans="1:10" x14ac:dyDescent="0.25">
      <c r="A55" s="377" t="s">
        <v>435</v>
      </c>
      <c r="B55" s="386">
        <f>'Legacy Trail'!L55</f>
        <v>9.8000000000000004E-2</v>
      </c>
      <c r="C55" s="387">
        <f>'Town Branch Trail'!J55</f>
        <v>7.8E-2</v>
      </c>
      <c r="D55" s="388">
        <f t="shared" si="3"/>
        <v>8.6290226596475172E-2</v>
      </c>
      <c r="E55" s="386">
        <f>'Legacy Trail'!J55</f>
        <v>5.7805411030176904E-2</v>
      </c>
      <c r="F55" s="387">
        <f>'Town Branch Trail'!H55</f>
        <v>5.5429851909586908E-2</v>
      </c>
      <c r="G55" s="389">
        <f t="shared" si="4"/>
        <v>5.6447192513368986E-2</v>
      </c>
      <c r="H55" s="390">
        <f>'Legacy Trail'!G55</f>
        <v>5.0155051449953233E-2</v>
      </c>
      <c r="I55" s="387">
        <f>'Town Branch Trail'!E55</f>
        <v>4.9900601967405672E-2</v>
      </c>
      <c r="J55" s="389">
        <f t="shared" si="5"/>
        <v>5.0042244353316417E-2</v>
      </c>
    </row>
    <row r="56" spans="1:10" x14ac:dyDescent="0.25">
      <c r="A56" s="377" t="s">
        <v>436</v>
      </c>
      <c r="B56" s="386">
        <f>'Legacy Trail'!L56</f>
        <v>0.109</v>
      </c>
      <c r="C56" s="387">
        <f>'Town Branch Trail'!J56</f>
        <v>0.121</v>
      </c>
      <c r="D56" s="388">
        <f t="shared" si="3"/>
        <v>0.1160258640421149</v>
      </c>
      <c r="E56" s="386">
        <f>'Legacy Trail'!J56</f>
        <v>0.14549245577523412</v>
      </c>
      <c r="F56" s="387">
        <f>'Town Branch Trail'!H56</f>
        <v>0.13353897116134059</v>
      </c>
      <c r="G56" s="389">
        <f t="shared" si="4"/>
        <v>0.1386580882352941</v>
      </c>
      <c r="H56" s="390">
        <f>'Legacy Trail'!G56</f>
        <v>0.13123187558465854</v>
      </c>
      <c r="I56" s="387">
        <f>'Town Branch Trail'!E56</f>
        <v>0.14351314050800176</v>
      </c>
      <c r="J56" s="389">
        <f t="shared" si="5"/>
        <v>0.13667662565905095</v>
      </c>
    </row>
    <row r="57" spans="1:10" x14ac:dyDescent="0.25">
      <c r="A57" s="377" t="s">
        <v>437</v>
      </c>
      <c r="B57" s="386">
        <f>'Legacy Trail'!L57</f>
        <v>4.3999999999999997E-2</v>
      </c>
      <c r="C57" s="387">
        <f>'Town Branch Trail'!J57</f>
        <v>1.9E-2</v>
      </c>
      <c r="D57" s="388">
        <f t="shared" si="3"/>
        <v>2.9362783245593958E-2</v>
      </c>
      <c r="E57" s="386">
        <f>'Legacy Trail'!J57</f>
        <v>3.5537981269510924E-2</v>
      </c>
      <c r="F57" s="387">
        <f>'Town Branch Trail'!H57</f>
        <v>2.000311769290725E-2</v>
      </c>
      <c r="G57" s="389">
        <f t="shared" si="4"/>
        <v>2.6655971479500891E-2</v>
      </c>
      <c r="H57" s="390">
        <f>'Legacy Trail'!G57</f>
        <v>3.099953227315248E-2</v>
      </c>
      <c r="I57" s="387">
        <f>'Town Branch Trail'!E57</f>
        <v>2.3207018059022168E-2</v>
      </c>
      <c r="J57" s="389">
        <f t="shared" si="5"/>
        <v>2.7544815465729348E-2</v>
      </c>
    </row>
    <row r="58" spans="1:10" x14ac:dyDescent="0.25">
      <c r="A58" s="377" t="s">
        <v>438</v>
      </c>
      <c r="B58" s="386">
        <f>'Legacy Trail'!L58</f>
        <v>0</v>
      </c>
      <c r="C58" s="387">
        <f>'Town Branch Trail'!J58</f>
        <v>1.7999999999999999E-2</v>
      </c>
      <c r="D58" s="388">
        <f t="shared" si="3"/>
        <v>1.0538796063172351E-2</v>
      </c>
      <c r="E58" s="386">
        <f>'Legacy Trail'!J58</f>
        <v>0</v>
      </c>
      <c r="F58" s="387">
        <f>'Town Branch Trail'!H58</f>
        <v>1.9003117692907249E-2</v>
      </c>
      <c r="G58" s="389">
        <f t="shared" si="4"/>
        <v>1.0864973262032085E-2</v>
      </c>
      <c r="H58" s="390">
        <f>'Legacy Trail'!G58</f>
        <v>1.4812675397567822E-2</v>
      </c>
      <c r="I58" s="387">
        <f>'Town Branch Trail'!E58</f>
        <v>3.2314050800176186E-2</v>
      </c>
      <c r="J58" s="389">
        <f t="shared" si="5"/>
        <v>2.257169823602161E-2</v>
      </c>
    </row>
    <row r="59" spans="1:10" x14ac:dyDescent="0.25">
      <c r="A59" s="377" t="s">
        <v>439</v>
      </c>
      <c r="B59" s="386">
        <f>'Legacy Trail'!L59</f>
        <v>4.7E-2</v>
      </c>
      <c r="C59" s="387">
        <f>'Town Branch Trail'!J59</f>
        <v>2.4E-2</v>
      </c>
      <c r="D59" s="388">
        <f t="shared" si="3"/>
        <v>3.3533760585946447E-2</v>
      </c>
      <c r="E59" s="386">
        <f>'Legacy Trail'!J59</f>
        <v>3.8009105098855356E-2</v>
      </c>
      <c r="F59" s="387">
        <f>'Town Branch Trail'!H59</f>
        <v>2.4E-2</v>
      </c>
      <c r="G59" s="389">
        <f t="shared" si="4"/>
        <v>2.9999442959001778E-2</v>
      </c>
      <c r="H59" s="390">
        <f>'Legacy Trail'!G59</f>
        <v>3.7913587464920483E-2</v>
      </c>
      <c r="I59" s="387">
        <f>'Town Branch Trail'!E59</f>
        <v>1.9809279107326386E-2</v>
      </c>
      <c r="J59" s="389">
        <f t="shared" si="5"/>
        <v>2.9887261602551587E-2</v>
      </c>
    </row>
    <row r="60" spans="1:10" x14ac:dyDescent="0.25">
      <c r="A60" s="377" t="s">
        <v>88</v>
      </c>
      <c r="B60" s="391">
        <f>'Legacy Trail'!L60</f>
        <v>19.8</v>
      </c>
      <c r="C60" s="392">
        <f>'Town Branch Trail'!J60</f>
        <v>19.399999999999999</v>
      </c>
      <c r="D60" s="393">
        <f t="shared" si="3"/>
        <v>19.565804531929505</v>
      </c>
      <c r="E60" s="391">
        <f>'Legacy Trail'!J60</f>
        <v>19.218236212278875</v>
      </c>
      <c r="F60" s="392">
        <f>'Town Branch Trail'!H60</f>
        <v>20.152338269680435</v>
      </c>
      <c r="G60" s="394">
        <f t="shared" si="4"/>
        <v>19.752306149732618</v>
      </c>
      <c r="H60" s="395">
        <f>'Legacy Trail'!G60</f>
        <v>20.165668849391952</v>
      </c>
      <c r="I60" s="392">
        <f>'Town Branch Trail'!E60</f>
        <v>20.262692702980473</v>
      </c>
      <c r="J60" s="394">
        <f t="shared" si="5"/>
        <v>20.208683199895855</v>
      </c>
    </row>
    <row r="61" spans="1:10" x14ac:dyDescent="0.25">
      <c r="A61" s="377" t="s">
        <v>89</v>
      </c>
      <c r="B61" s="374"/>
      <c r="C61" s="375"/>
      <c r="D61" s="371"/>
      <c r="E61" s="374"/>
      <c r="F61" s="375"/>
      <c r="G61" s="372"/>
      <c r="H61" s="376"/>
      <c r="I61" s="375"/>
      <c r="J61" s="372"/>
    </row>
    <row r="62" spans="1:10" x14ac:dyDescent="0.25">
      <c r="A62" s="377" t="s">
        <v>440</v>
      </c>
      <c r="B62" s="369">
        <f>'Legacy Trail'!L62</f>
        <v>1811</v>
      </c>
      <c r="C62" s="370">
        <f>'Town Branch Trail'!J62</f>
        <v>2558</v>
      </c>
      <c r="D62" s="379">
        <f t="shared" si="0"/>
        <v>4369</v>
      </c>
      <c r="E62" s="369">
        <f>'Legacy Trail'!J62</f>
        <v>3844</v>
      </c>
      <c r="F62" s="370">
        <f>'Town Branch Trail'!H62</f>
        <v>5132</v>
      </c>
      <c r="G62" s="380">
        <f>SUM(E62:F62)</f>
        <v>8976</v>
      </c>
      <c r="H62" s="373">
        <f>'Legacy Trail'!G62</f>
        <v>8552</v>
      </c>
      <c r="I62" s="370">
        <f>'Town Branch Trail'!E62</f>
        <v>6811</v>
      </c>
      <c r="J62" s="380">
        <f t="shared" ref="J62" si="6">SUM(H62:I62)</f>
        <v>15363</v>
      </c>
    </row>
    <row r="63" spans="1:10" x14ac:dyDescent="0.25">
      <c r="A63" s="377" t="s">
        <v>441</v>
      </c>
      <c r="B63" s="386">
        <f>'Legacy Trail'!L63</f>
        <v>0</v>
      </c>
      <c r="C63" s="387">
        <f>'Town Branch Trail'!J63</f>
        <v>7.0000000000000001E-3</v>
      </c>
      <c r="D63" s="388">
        <f>((B63*$B$62)+(C63*$C$62))/$D$62</f>
        <v>4.098420691233692E-3</v>
      </c>
      <c r="E63" s="386">
        <f>'Legacy Trail'!J63</f>
        <v>8.03891779396462E-2</v>
      </c>
      <c r="F63" s="387">
        <f>'Town Branch Trail'!H63</f>
        <v>1.6529618082618859E-2</v>
      </c>
      <c r="G63" s="389">
        <f>((E63*$E$62)+(F63*$F$62))/$G$62</f>
        <v>4.3877673796791444E-2</v>
      </c>
      <c r="H63" s="390">
        <f>'Legacy Trail'!G63</f>
        <v>4.6402946679139384E-2</v>
      </c>
      <c r="I63" s="387">
        <f>'Town Branch Trail'!E63</f>
        <v>1.245485244457495E-2</v>
      </c>
      <c r="J63" s="389">
        <f>((H63*$H$62)+(I63*$I$62))/$J$62</f>
        <v>3.1352470220660025E-2</v>
      </c>
    </row>
    <row r="64" spans="1:10" x14ac:dyDescent="0.25">
      <c r="A64" s="377" t="s">
        <v>442</v>
      </c>
      <c r="B64" s="386">
        <f>'Legacy Trail'!L64</f>
        <v>0.216</v>
      </c>
      <c r="C64" s="387">
        <f>'Town Branch Trail'!J64</f>
        <v>0.245</v>
      </c>
      <c r="D64" s="388">
        <f t="shared" ref="D64:D66" si="7">((B64*$B$62)+(C64*$C$62))/$D$62</f>
        <v>0.23297917143511102</v>
      </c>
      <c r="E64" s="386">
        <f>'Legacy Trail'!J64</f>
        <v>0.27787851196670132</v>
      </c>
      <c r="F64" s="387">
        <f>'Town Branch Trail'!H64</f>
        <v>0.1722739672642245</v>
      </c>
      <c r="G64" s="389">
        <f t="shared" ref="G64:G66" si="8">((E64*$E$62)+(F64*$F$62))/$G$62</f>
        <v>0.21749944295900178</v>
      </c>
      <c r="H64" s="390">
        <f>'Legacy Trail'!G64</f>
        <v>0.19366920018709075</v>
      </c>
      <c r="I64" s="387">
        <f>'Town Branch Trail'!E64</f>
        <v>0.16555057994420791</v>
      </c>
      <c r="J64" s="389">
        <f t="shared" ref="J64:J66" si="9">((H64*$H$62)+(I64*$I$62))/$J$62</f>
        <v>0.18120315042634902</v>
      </c>
    </row>
    <row r="65" spans="1:10" x14ac:dyDescent="0.25">
      <c r="A65" s="377" t="s">
        <v>443</v>
      </c>
      <c r="B65" s="386">
        <f>'Legacy Trail'!L65</f>
        <v>0.50600000000000001</v>
      </c>
      <c r="C65" s="387">
        <f>'Town Branch Trail'!J65</f>
        <v>0.60799999999999998</v>
      </c>
      <c r="D65" s="388">
        <f t="shared" si="7"/>
        <v>0.56571984435797673</v>
      </c>
      <c r="E65" s="386">
        <f>'Legacy Trail'!J65</f>
        <v>0.41873543184183148</v>
      </c>
      <c r="F65" s="387">
        <f>'Town Branch Trail'!H65</f>
        <v>0.60248285268901014</v>
      </c>
      <c r="G65" s="389">
        <f t="shared" si="8"/>
        <v>0.52379244652406409</v>
      </c>
      <c r="H65" s="390">
        <f>'Legacy Trail'!G65</f>
        <v>0.48410991580916746</v>
      </c>
      <c r="I65" s="387">
        <f>'Town Branch Trail'!E65</f>
        <v>0.58658699163118477</v>
      </c>
      <c r="J65" s="389">
        <f t="shared" si="9"/>
        <v>0.52954188635032218</v>
      </c>
    </row>
    <row r="66" spans="1:10" ht="15.75" thickBot="1" x14ac:dyDescent="0.3">
      <c r="A66" s="378" t="s">
        <v>444</v>
      </c>
      <c r="B66" s="396">
        <f>'Legacy Trail'!L66</f>
        <v>0.27800000000000002</v>
      </c>
      <c r="C66" s="397">
        <f>'Town Branch Trail'!J66</f>
        <v>0.14099999999999999</v>
      </c>
      <c r="D66" s="398">
        <f t="shared" si="7"/>
        <v>0.19778805218585488</v>
      </c>
      <c r="E66" s="396">
        <f>'Legacy Trail'!J66</f>
        <v>0.22299687825182102</v>
      </c>
      <c r="F66" s="397">
        <f>'Town Branch Trail'!H66</f>
        <v>0.20921200311769289</v>
      </c>
      <c r="G66" s="399">
        <f t="shared" si="8"/>
        <v>0.21511541889483066</v>
      </c>
      <c r="H66" s="400">
        <f>'Legacy Trail'!G66</f>
        <v>0.27581793732460241</v>
      </c>
      <c r="I66" s="397">
        <f>'Town Branch Trail'!E66</f>
        <v>0.23578314491264132</v>
      </c>
      <c r="J66" s="399">
        <f t="shared" si="9"/>
        <v>0.25806899694070168</v>
      </c>
    </row>
  </sheetData>
  <sheetProtection password="891C" sheet="1" objects="1" scenarios="1"/>
  <mergeCells count="5">
    <mergeCell ref="A1:A2"/>
    <mergeCell ref="B1:D1"/>
    <mergeCell ref="E1:G1"/>
    <mergeCell ref="H1:J1"/>
    <mergeCell ref="L2: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45"/>
  <sheetViews>
    <sheetView topLeftCell="BG1" zoomScale="60" zoomScaleNormal="60" workbookViewId="0">
      <selection activeCell="BH55" sqref="BH55"/>
    </sheetView>
  </sheetViews>
  <sheetFormatPr defaultRowHeight="15" x14ac:dyDescent="0.25"/>
  <cols>
    <col min="1" max="1" width="9.140625" style="450"/>
    <col min="2" max="2" width="14.7109375" style="450" customWidth="1"/>
    <col min="3" max="4" width="14.7109375" style="491" customWidth="1"/>
    <col min="5" max="5" width="16.28515625" style="491" bestFit="1" customWidth="1"/>
    <col min="6" max="6" width="21.5703125" style="491" bestFit="1" customWidth="1"/>
    <col min="7" max="7" width="16.85546875" style="491" bestFit="1" customWidth="1"/>
    <col min="8" max="8" width="18.7109375" style="491" bestFit="1" customWidth="1"/>
    <col min="9" max="9" width="19.140625" style="491" bestFit="1" customWidth="1"/>
    <col min="10" max="12" width="18.7109375" style="491" bestFit="1" customWidth="1"/>
    <col min="13" max="14" width="24.140625" style="491" bestFit="1" customWidth="1"/>
    <col min="15" max="16" width="21.85546875" style="491" bestFit="1" customWidth="1"/>
    <col min="17" max="21" width="14.7109375" style="450" customWidth="1"/>
    <col min="22" max="22" width="16.28515625" style="450" bestFit="1" customWidth="1"/>
    <col min="23" max="23" width="21.5703125" style="450" bestFit="1" customWidth="1"/>
    <col min="24" max="24" width="16.85546875" style="450" bestFit="1" customWidth="1"/>
    <col min="25" max="30" width="14.7109375" style="450" customWidth="1"/>
    <col min="31" max="31" width="24.140625" style="450" bestFit="1" customWidth="1"/>
    <col min="32" max="33" width="21.85546875" style="450" bestFit="1" customWidth="1"/>
    <col min="34" max="38" width="14.7109375" style="450" customWidth="1"/>
    <col min="39" max="39" width="16.28515625" style="450" bestFit="1" customWidth="1"/>
    <col min="40" max="40" width="21.5703125" style="450" bestFit="1" customWidth="1"/>
    <col min="41" max="41" width="16.85546875" style="450" bestFit="1" customWidth="1"/>
    <col min="42" max="47" width="14.7109375" style="450" customWidth="1"/>
    <col min="48" max="48" width="24.140625" style="450" bestFit="1" customWidth="1"/>
    <col min="49" max="50" width="21.85546875" style="450" bestFit="1" customWidth="1"/>
    <col min="51" max="55" width="14.7109375" style="450" customWidth="1"/>
    <col min="56" max="56" width="16.28515625" style="450" bestFit="1" customWidth="1"/>
    <col min="57" max="57" width="21.5703125" style="450" bestFit="1" customWidth="1"/>
    <col min="58" max="58" width="16.85546875" style="450" bestFit="1" customWidth="1"/>
    <col min="59" max="64" width="14.7109375" style="450" customWidth="1"/>
    <col min="65" max="65" width="24.140625" style="450" bestFit="1" customWidth="1"/>
    <col min="66" max="67" width="21.85546875" style="450" bestFit="1" customWidth="1"/>
    <col min="68" max="70" width="14.7109375" style="450" customWidth="1"/>
    <col min="71" max="16384" width="9.140625" style="450"/>
  </cols>
  <sheetData>
    <row r="1" spans="2:70" x14ac:dyDescent="0.25">
      <c r="B1" s="486"/>
      <c r="C1" s="665" t="s">
        <v>145</v>
      </c>
      <c r="D1" s="665"/>
      <c r="E1" s="665"/>
      <c r="F1" s="665"/>
      <c r="G1" s="665"/>
      <c r="H1" s="665"/>
      <c r="I1" s="665"/>
      <c r="J1" s="665"/>
      <c r="K1" s="665"/>
      <c r="L1" s="665"/>
      <c r="M1" s="665"/>
      <c r="N1" s="665"/>
      <c r="O1" s="665"/>
      <c r="P1" s="665"/>
      <c r="Q1" s="665"/>
      <c r="R1" s="665"/>
      <c r="S1" s="665"/>
      <c r="T1" s="665" t="s">
        <v>146</v>
      </c>
      <c r="U1" s="665"/>
      <c r="V1" s="665"/>
      <c r="W1" s="665"/>
      <c r="X1" s="665"/>
      <c r="Y1" s="665"/>
      <c r="Z1" s="665"/>
      <c r="AA1" s="665"/>
      <c r="AB1" s="665"/>
      <c r="AC1" s="665"/>
      <c r="AD1" s="665"/>
      <c r="AE1" s="665"/>
      <c r="AF1" s="665"/>
      <c r="AG1" s="665"/>
      <c r="AH1" s="665"/>
      <c r="AI1" s="665"/>
      <c r="AJ1" s="665"/>
      <c r="AK1" s="665" t="s">
        <v>147</v>
      </c>
      <c r="AL1" s="665"/>
      <c r="AM1" s="665"/>
      <c r="AN1" s="665"/>
      <c r="AO1" s="665"/>
      <c r="AP1" s="665"/>
      <c r="AQ1" s="665"/>
      <c r="AR1" s="665"/>
      <c r="AS1" s="665"/>
      <c r="AT1" s="665"/>
      <c r="AU1" s="665"/>
      <c r="AV1" s="665"/>
      <c r="AW1" s="665"/>
      <c r="AX1" s="665"/>
      <c r="AY1" s="665"/>
      <c r="AZ1" s="665"/>
      <c r="BA1" s="665"/>
      <c r="BB1" s="665" t="s">
        <v>125</v>
      </c>
      <c r="BC1" s="665"/>
      <c r="BD1" s="665"/>
      <c r="BE1" s="665"/>
      <c r="BF1" s="665"/>
      <c r="BG1" s="665"/>
      <c r="BH1" s="665"/>
      <c r="BI1" s="665"/>
      <c r="BJ1" s="665"/>
      <c r="BK1" s="665"/>
      <c r="BL1" s="665"/>
      <c r="BM1" s="665"/>
      <c r="BN1" s="665"/>
      <c r="BO1" s="665"/>
      <c r="BP1" s="665"/>
      <c r="BQ1" s="665"/>
      <c r="BR1" s="665"/>
    </row>
    <row r="2" spans="2:70" s="451" customFormat="1" ht="57" x14ac:dyDescent="0.25">
      <c r="B2" s="304" t="s">
        <v>132</v>
      </c>
      <c r="C2" s="542" t="s">
        <v>96</v>
      </c>
      <c r="D2" s="542" t="s">
        <v>20</v>
      </c>
      <c r="E2" s="542" t="s">
        <v>137</v>
      </c>
      <c r="F2" s="543" t="s">
        <v>138</v>
      </c>
      <c r="G2" s="543" t="s">
        <v>141</v>
      </c>
      <c r="H2" s="542" t="s">
        <v>109</v>
      </c>
      <c r="I2" s="542" t="s">
        <v>110</v>
      </c>
      <c r="J2" s="542" t="s">
        <v>111</v>
      </c>
      <c r="K2" s="542" t="s">
        <v>143</v>
      </c>
      <c r="L2" s="542" t="s">
        <v>142</v>
      </c>
      <c r="M2" s="542" t="s">
        <v>144</v>
      </c>
      <c r="N2" s="543" t="s">
        <v>106</v>
      </c>
      <c r="O2" s="543" t="s">
        <v>107</v>
      </c>
      <c r="P2" s="543" t="s">
        <v>108</v>
      </c>
      <c r="Q2" s="543" t="s">
        <v>115</v>
      </c>
      <c r="R2" s="543" t="s">
        <v>116</v>
      </c>
      <c r="S2" s="543" t="s">
        <v>139</v>
      </c>
      <c r="T2" s="542" t="s">
        <v>96</v>
      </c>
      <c r="U2" s="542" t="s">
        <v>20</v>
      </c>
      <c r="V2" s="542" t="s">
        <v>137</v>
      </c>
      <c r="W2" s="543" t="s">
        <v>138</v>
      </c>
      <c r="X2" s="543" t="s">
        <v>141</v>
      </c>
      <c r="Y2" s="542" t="s">
        <v>109</v>
      </c>
      <c r="Z2" s="542" t="s">
        <v>110</v>
      </c>
      <c r="AA2" s="542" t="s">
        <v>111</v>
      </c>
      <c r="AB2" s="542" t="s">
        <v>143</v>
      </c>
      <c r="AC2" s="542" t="s">
        <v>142</v>
      </c>
      <c r="AD2" s="542" t="s">
        <v>284</v>
      </c>
      <c r="AE2" s="543" t="s">
        <v>106</v>
      </c>
      <c r="AF2" s="543" t="s">
        <v>107</v>
      </c>
      <c r="AG2" s="543" t="s">
        <v>108</v>
      </c>
      <c r="AH2" s="543" t="s">
        <v>115</v>
      </c>
      <c r="AI2" s="543" t="s">
        <v>116</v>
      </c>
      <c r="AJ2" s="543" t="s">
        <v>139</v>
      </c>
      <c r="AK2" s="542" t="s">
        <v>96</v>
      </c>
      <c r="AL2" s="542" t="s">
        <v>20</v>
      </c>
      <c r="AM2" s="542" t="s">
        <v>137</v>
      </c>
      <c r="AN2" s="543" t="s">
        <v>138</v>
      </c>
      <c r="AO2" s="543" t="s">
        <v>141</v>
      </c>
      <c r="AP2" s="542" t="s">
        <v>109</v>
      </c>
      <c r="AQ2" s="542" t="s">
        <v>110</v>
      </c>
      <c r="AR2" s="542" t="s">
        <v>111</v>
      </c>
      <c r="AS2" s="542" t="s">
        <v>143</v>
      </c>
      <c r="AT2" s="542" t="s">
        <v>142</v>
      </c>
      <c r="AU2" s="542" t="s">
        <v>144</v>
      </c>
      <c r="AV2" s="543" t="s">
        <v>106</v>
      </c>
      <c r="AW2" s="543" t="s">
        <v>107</v>
      </c>
      <c r="AX2" s="543" t="s">
        <v>108</v>
      </c>
      <c r="AY2" s="543" t="s">
        <v>115</v>
      </c>
      <c r="AZ2" s="543" t="s">
        <v>116</v>
      </c>
      <c r="BA2" s="543" t="s">
        <v>139</v>
      </c>
      <c r="BB2" s="542" t="s">
        <v>96</v>
      </c>
      <c r="BC2" s="542" t="s">
        <v>20</v>
      </c>
      <c r="BD2" s="542" t="s">
        <v>137</v>
      </c>
      <c r="BE2" s="543" t="s">
        <v>138</v>
      </c>
      <c r="BF2" s="543" t="s">
        <v>141</v>
      </c>
      <c r="BG2" s="542" t="s">
        <v>109</v>
      </c>
      <c r="BH2" s="542" t="s">
        <v>110</v>
      </c>
      <c r="BI2" s="542" t="s">
        <v>111</v>
      </c>
      <c r="BJ2" s="542" t="s">
        <v>143</v>
      </c>
      <c r="BK2" s="542" t="s">
        <v>142</v>
      </c>
      <c r="BL2" s="542" t="s">
        <v>144</v>
      </c>
      <c r="BM2" s="543" t="s">
        <v>106</v>
      </c>
      <c r="BN2" s="543" t="s">
        <v>107</v>
      </c>
      <c r="BO2" s="543" t="s">
        <v>108</v>
      </c>
      <c r="BP2" s="543" t="s">
        <v>115</v>
      </c>
      <c r="BQ2" s="543" t="s">
        <v>116</v>
      </c>
      <c r="BR2" s="543" t="s">
        <v>139</v>
      </c>
    </row>
    <row r="3" spans="2:70" x14ac:dyDescent="0.25">
      <c r="B3" s="486">
        <v>2014</v>
      </c>
      <c r="C3" s="479">
        <f>'Estimating Users Methodology'!B4</f>
        <v>4027.333333333333</v>
      </c>
      <c r="D3" s="479">
        <f>'Estimating Users Methodology'!B5</f>
        <v>3437.2490000000003</v>
      </c>
      <c r="E3" s="479">
        <f>'Estimating Users Methodology'!B6</f>
        <v>1963.8153333333332</v>
      </c>
      <c r="F3" s="544">
        <f>'Estimating Users Methodology'!B7</f>
        <v>74.624982666666668</v>
      </c>
      <c r="G3" s="544">
        <v>0</v>
      </c>
      <c r="H3" s="479">
        <f t="shared" ref="H3:H36" si="0">N3-F3</f>
        <v>0</v>
      </c>
      <c r="I3" s="479">
        <f t="shared" ref="I3:I36" si="1">O3-F3</f>
        <v>28.673992533333333</v>
      </c>
      <c r="J3" s="479">
        <f t="shared" ref="J3:J36" si="2">P3-F3</f>
        <v>169.87345933333336</v>
      </c>
      <c r="K3" s="479">
        <v>0</v>
      </c>
      <c r="L3" s="479">
        <v>0</v>
      </c>
      <c r="M3" s="479">
        <v>0</v>
      </c>
      <c r="N3" s="544">
        <f t="shared" ref="N3:N38" si="3">F3</f>
        <v>74.624982666666668</v>
      </c>
      <c r="O3" s="544">
        <f t="shared" ref="O3:O38" si="4">(0.004*D3)+(1.2*F3)</f>
        <v>103.2989752</v>
      </c>
      <c r="P3" s="544">
        <f t="shared" ref="P3:P38" si="5">(0.006*D3)+(3*F3)</f>
        <v>244.49844200000001</v>
      </c>
      <c r="Q3" s="544">
        <v>0</v>
      </c>
      <c r="R3" s="544">
        <v>0</v>
      </c>
      <c r="S3" s="544">
        <v>0</v>
      </c>
      <c r="T3" s="479">
        <f>'Estimating Users Methodology'!C4</f>
        <v>12230.5</v>
      </c>
      <c r="U3" s="479">
        <f>'Estimating Users Methodology'!C5</f>
        <v>9141.2010000000009</v>
      </c>
      <c r="V3" s="479">
        <f>'Estimating Users Methodology'!C6</f>
        <v>5199.0863333333327</v>
      </c>
      <c r="W3" s="544">
        <f>'Estimating Users Methodology'!C7</f>
        <v>187.16710799999996</v>
      </c>
      <c r="X3" s="544">
        <v>0</v>
      </c>
      <c r="Y3" s="479">
        <f t="shared" ref="Y3:Y36" si="6">AE3-W3</f>
        <v>0</v>
      </c>
      <c r="Z3" s="479">
        <f t="shared" ref="Z3:Z36" si="7">AF3-W3</f>
        <v>73.998225599999984</v>
      </c>
      <c r="AA3" s="479">
        <f t="shared" ref="AA3:AA36" si="8">AG3-W3</f>
        <v>429.18142199999988</v>
      </c>
      <c r="AB3" s="479">
        <v>0</v>
      </c>
      <c r="AC3" s="479">
        <v>0</v>
      </c>
      <c r="AD3" s="479">
        <v>0</v>
      </c>
      <c r="AE3" s="544">
        <f t="shared" ref="AE3:AE38" si="9">W3</f>
        <v>187.16710799999996</v>
      </c>
      <c r="AF3" s="544">
        <f t="shared" ref="AF3:AF38" si="10">(0.004*U3)+(1.2*W3)</f>
        <v>261.16533359999994</v>
      </c>
      <c r="AG3" s="544">
        <f t="shared" ref="AG3:AG38" si="11">(0.006*U3)+(3*W3)</f>
        <v>616.34852999999987</v>
      </c>
      <c r="AH3" s="544">
        <v>0</v>
      </c>
      <c r="AI3" s="544">
        <v>0</v>
      </c>
      <c r="AJ3" s="544">
        <v>0</v>
      </c>
      <c r="AK3" s="479">
        <f>'Estimating Users Methodology'!D4</f>
        <v>13822</v>
      </c>
      <c r="AL3" s="479">
        <f>'Estimating Users Methodology'!D5</f>
        <v>10552.014999999999</v>
      </c>
      <c r="AM3" s="479">
        <f>'Estimating Users Methodology'!D6</f>
        <v>6303.2976666666664</v>
      </c>
      <c r="AN3" s="544">
        <f>'Estimating Users Methodology'!D7</f>
        <v>144.97584633333332</v>
      </c>
      <c r="AO3" s="544">
        <v>0</v>
      </c>
      <c r="AP3" s="479">
        <f t="shared" ref="AP3:AP36" si="12">AV3-AN3</f>
        <v>0</v>
      </c>
      <c r="AQ3" s="479">
        <f t="shared" ref="AQ3:AQ36" si="13">AW3-AN3</f>
        <v>71.203229266666654</v>
      </c>
      <c r="AR3" s="479">
        <f t="shared" ref="AR3:AR36" si="14">AX3-AN3</f>
        <v>353.26378266666666</v>
      </c>
      <c r="AS3" s="479">
        <v>0</v>
      </c>
      <c r="AT3" s="479">
        <v>0</v>
      </c>
      <c r="AU3" s="479">
        <v>0</v>
      </c>
      <c r="AV3" s="544">
        <f t="shared" ref="AV3:AV38" si="15">AN3</f>
        <v>144.97584633333332</v>
      </c>
      <c r="AW3" s="544">
        <f t="shared" ref="AW3:AW38" si="16">(0.004*AL3)+(1.2*AN3)</f>
        <v>216.17907559999998</v>
      </c>
      <c r="AX3" s="544">
        <f t="shared" ref="AX3:AX38" si="17">(0.006*AL3)+(3*AN3)</f>
        <v>498.23962899999998</v>
      </c>
      <c r="AY3" s="544">
        <v>0</v>
      </c>
      <c r="AZ3" s="544">
        <v>0</v>
      </c>
      <c r="BA3" s="544">
        <v>0</v>
      </c>
      <c r="BB3" s="479">
        <f t="shared" ref="BB3:BB38" si="18">SUM(C3,T3,AK3)</f>
        <v>30079.833333333332</v>
      </c>
      <c r="BC3" s="479">
        <f t="shared" ref="BC3:BC38" si="19">SUM(D3,U3,AL3)</f>
        <v>23130.465</v>
      </c>
      <c r="BD3" s="479">
        <f t="shared" ref="BD3:BD38" si="20">SUM(E3,V3,AM3)</f>
        <v>13466.199333333332</v>
      </c>
      <c r="BE3" s="544">
        <f t="shared" ref="BE3:BE38" si="21">SUM(F3,W3,AN3)</f>
        <v>406.76793699999996</v>
      </c>
      <c r="BF3" s="544">
        <f t="shared" ref="BF3:BF38" si="22">SUM(G3,X3,AO3)</f>
        <v>0</v>
      </c>
      <c r="BG3" s="479">
        <f t="shared" ref="BG3:BG38" si="23">SUM(H3,Y3,AP3)</f>
        <v>0</v>
      </c>
      <c r="BH3" s="479">
        <f t="shared" ref="BH3:BH38" si="24">SUM(I3,Z3,AQ3)</f>
        <v>173.87544739999998</v>
      </c>
      <c r="BI3" s="479">
        <f t="shared" ref="BI3:BI38" si="25">SUM(J3,AA3,AR3)</f>
        <v>952.3186639999999</v>
      </c>
      <c r="BJ3" s="479">
        <f t="shared" ref="BJ3:BJ38" si="26">SUM(K3,AB3,AS3)</f>
        <v>0</v>
      </c>
      <c r="BK3" s="479">
        <f t="shared" ref="BK3:BK38" si="27">SUM(L3,AC3,AT3)</f>
        <v>0</v>
      </c>
      <c r="BL3" s="479">
        <f t="shared" ref="BL3:BL38" si="28">SUM(M3,AD3,AU3)</f>
        <v>0</v>
      </c>
      <c r="BM3" s="544">
        <f t="shared" ref="BM3:BM38" si="29">SUM(N3,AE3,AV3)</f>
        <v>406.76793699999996</v>
      </c>
      <c r="BN3" s="544">
        <f t="shared" ref="BN3:BN38" si="30">SUM(O3,AF3,AW3)</f>
        <v>580.64338439999983</v>
      </c>
      <c r="BO3" s="544">
        <f t="shared" ref="BO3:BO38" si="31">SUM(P3,AG3,AX3)</f>
        <v>1359.0866009999997</v>
      </c>
      <c r="BP3" s="544">
        <f t="shared" ref="BP3:BP38" si="32">SUM(Q3,AH3,AY3)</f>
        <v>0</v>
      </c>
      <c r="BQ3" s="544">
        <f t="shared" ref="BQ3:BQ38" si="33">SUM(R3,AI3,AZ3)</f>
        <v>0</v>
      </c>
      <c r="BR3" s="544">
        <f t="shared" ref="BR3:BR38" si="34">SUM(S3,AJ3,BA3)</f>
        <v>0</v>
      </c>
    </row>
    <row r="4" spans="2:70" x14ac:dyDescent="0.25">
      <c r="B4" s="486">
        <f t="shared" ref="B4:B6" si="35">1+B3</f>
        <v>2015</v>
      </c>
      <c r="C4" s="479">
        <f>C3*(1+'Fayette County Statistics'!$L$5)</f>
        <v>4072.4409403460149</v>
      </c>
      <c r="D4" s="479">
        <f>D3*(1+'Fayette County Statistics'!$L$5)</f>
        <v>3475.7474465560508</v>
      </c>
      <c r="E4" s="479">
        <f>E3*(1+'Fayette County Statistics'!$L$5)</f>
        <v>1985.8107836647714</v>
      </c>
      <c r="F4" s="544">
        <f>F3*(1+'Fayette County Statistics'!$L$5)</f>
        <v>75.460809779261325</v>
      </c>
      <c r="G4" s="544">
        <v>0</v>
      </c>
      <c r="H4" s="479">
        <f t="shared" si="0"/>
        <v>0</v>
      </c>
      <c r="I4" s="479">
        <f t="shared" si="1"/>
        <v>28.995151742076473</v>
      </c>
      <c r="J4" s="479">
        <f t="shared" si="2"/>
        <v>171.77610423785896</v>
      </c>
      <c r="K4" s="479">
        <v>0</v>
      </c>
      <c r="L4" s="479">
        <v>0</v>
      </c>
      <c r="M4" s="479">
        <v>0</v>
      </c>
      <c r="N4" s="544">
        <f t="shared" si="3"/>
        <v>75.460809779261325</v>
      </c>
      <c r="O4" s="544">
        <f t="shared" si="4"/>
        <v>104.4559615213378</v>
      </c>
      <c r="P4" s="544">
        <f t="shared" si="5"/>
        <v>247.23691401712028</v>
      </c>
      <c r="Q4" s="544">
        <v>0</v>
      </c>
      <c r="R4" s="544">
        <v>0</v>
      </c>
      <c r="S4" s="544">
        <v>0</v>
      </c>
      <c r="T4" s="479">
        <f>T3*(1+'Fayette County Statistics'!$L$5)</f>
        <v>12367.486075377075</v>
      </c>
      <c r="U4" s="479">
        <f>U3*(1+'Fayette County Statistics'!$L$5)</f>
        <v>9243.5857961426773</v>
      </c>
      <c r="V4" s="479">
        <f>V3*(1+'Fayette County Statistics'!$L$5)</f>
        <v>5257.3180027131557</v>
      </c>
      <c r="W4" s="544">
        <f>W3*(1+'Fayette County Statistics'!$L$5)</f>
        <v>189.26344809767357</v>
      </c>
      <c r="X4" s="544">
        <v>0</v>
      </c>
      <c r="Y4" s="479">
        <f t="shared" si="6"/>
        <v>0</v>
      </c>
      <c r="Z4" s="479">
        <f t="shared" si="7"/>
        <v>74.827032804105443</v>
      </c>
      <c r="AA4" s="479">
        <f t="shared" si="8"/>
        <v>433.98841097220333</v>
      </c>
      <c r="AB4" s="479">
        <v>0</v>
      </c>
      <c r="AC4" s="479">
        <v>0</v>
      </c>
      <c r="AD4" s="479">
        <v>0</v>
      </c>
      <c r="AE4" s="544">
        <f t="shared" si="9"/>
        <v>189.26344809767357</v>
      </c>
      <c r="AF4" s="544">
        <f t="shared" si="10"/>
        <v>264.09048090177902</v>
      </c>
      <c r="AG4" s="544">
        <f t="shared" si="11"/>
        <v>623.2518590698769</v>
      </c>
      <c r="AH4" s="544">
        <v>0</v>
      </c>
      <c r="AI4" s="544">
        <v>0</v>
      </c>
      <c r="AJ4" s="544">
        <v>0</v>
      </c>
      <c r="AK4" s="479">
        <f>AK3*(1+'Fayette County Statistics'!$L$5)</f>
        <v>13976.81145773778</v>
      </c>
      <c r="AL4" s="479">
        <f>AL3*(1+'Fayette County Statistics'!$L$5)</f>
        <v>10670.201429186871</v>
      </c>
      <c r="AM4" s="479">
        <f>AM3*(1+'Fayette County Statistics'!$L$5)</f>
        <v>6373.8969070321573</v>
      </c>
      <c r="AN4" s="544">
        <f>AN3*(1+'Fayette County Statistics'!$L$5)</f>
        <v>146.59962886173963</v>
      </c>
      <c r="AO4" s="544">
        <v>0</v>
      </c>
      <c r="AP4" s="479">
        <f t="shared" si="12"/>
        <v>0</v>
      </c>
      <c r="AQ4" s="479">
        <f t="shared" si="13"/>
        <v>72.000731489095415</v>
      </c>
      <c r="AR4" s="479">
        <f t="shared" si="14"/>
        <v>357.22046629860046</v>
      </c>
      <c r="AS4" s="479">
        <v>0</v>
      </c>
      <c r="AT4" s="479">
        <v>0</v>
      </c>
      <c r="AU4" s="479">
        <v>0</v>
      </c>
      <c r="AV4" s="544">
        <f t="shared" si="15"/>
        <v>146.59962886173963</v>
      </c>
      <c r="AW4" s="544">
        <f t="shared" si="16"/>
        <v>218.60036035083505</v>
      </c>
      <c r="AX4" s="544">
        <f t="shared" si="17"/>
        <v>503.82009516034009</v>
      </c>
      <c r="AY4" s="544">
        <v>0</v>
      </c>
      <c r="AZ4" s="544">
        <v>0</v>
      </c>
      <c r="BA4" s="544">
        <v>0</v>
      </c>
      <c r="BB4" s="479">
        <f t="shared" si="18"/>
        <v>30416.738473460871</v>
      </c>
      <c r="BC4" s="479">
        <f t="shared" si="19"/>
        <v>23389.534671885602</v>
      </c>
      <c r="BD4" s="479">
        <f t="shared" si="20"/>
        <v>13617.025693410083</v>
      </c>
      <c r="BE4" s="544">
        <f t="shared" si="21"/>
        <v>411.3238867386745</v>
      </c>
      <c r="BF4" s="544">
        <f t="shared" si="22"/>
        <v>0</v>
      </c>
      <c r="BG4" s="479">
        <f t="shared" si="23"/>
        <v>0</v>
      </c>
      <c r="BH4" s="479">
        <f t="shared" si="24"/>
        <v>175.82291603527733</v>
      </c>
      <c r="BI4" s="479">
        <f t="shared" si="25"/>
        <v>962.98498150866271</v>
      </c>
      <c r="BJ4" s="479">
        <f t="shared" si="26"/>
        <v>0</v>
      </c>
      <c r="BK4" s="479">
        <f t="shared" si="27"/>
        <v>0</v>
      </c>
      <c r="BL4" s="479">
        <f t="shared" si="28"/>
        <v>0</v>
      </c>
      <c r="BM4" s="544">
        <f t="shared" si="29"/>
        <v>411.3238867386745</v>
      </c>
      <c r="BN4" s="544">
        <f t="shared" si="30"/>
        <v>587.14680277395178</v>
      </c>
      <c r="BO4" s="544">
        <f t="shared" si="31"/>
        <v>1374.3088682473372</v>
      </c>
      <c r="BP4" s="544">
        <f t="shared" si="32"/>
        <v>0</v>
      </c>
      <c r="BQ4" s="544">
        <f t="shared" si="33"/>
        <v>0</v>
      </c>
      <c r="BR4" s="544">
        <f t="shared" si="34"/>
        <v>0</v>
      </c>
    </row>
    <row r="5" spans="2:70" x14ac:dyDescent="0.25">
      <c r="B5" s="486">
        <f t="shared" si="35"/>
        <v>2016</v>
      </c>
      <c r="C5" s="479">
        <f>C4*(1+'Fayette County Statistics'!$L$5)</f>
        <v>4118.0537690629872</v>
      </c>
      <c r="D5" s="479">
        <f>D4*(1+'Fayette County Statistics'!$L$5)</f>
        <v>3514.6770898008572</v>
      </c>
      <c r="E5" s="479">
        <f>E4*(1+'Fayette County Statistics'!$L$5)</f>
        <v>2008.0525910884835</v>
      </c>
      <c r="F5" s="544">
        <f>F4*(1+'Fayette County Statistics'!$L$5)</f>
        <v>76.305998461362378</v>
      </c>
      <c r="G5" s="544">
        <v>0</v>
      </c>
      <c r="H5" s="479">
        <f t="shared" si="0"/>
        <v>0</v>
      </c>
      <c r="I5" s="479">
        <f t="shared" si="1"/>
        <v>29.319908051475892</v>
      </c>
      <c r="J5" s="479">
        <f t="shared" si="2"/>
        <v>173.70005946152989</v>
      </c>
      <c r="K5" s="479">
        <v>0</v>
      </c>
      <c r="L5" s="479">
        <v>0</v>
      </c>
      <c r="M5" s="479">
        <v>0</v>
      </c>
      <c r="N5" s="544">
        <f t="shared" si="3"/>
        <v>76.305998461362378</v>
      </c>
      <c r="O5" s="544">
        <f t="shared" si="4"/>
        <v>105.62590651283827</v>
      </c>
      <c r="P5" s="544">
        <f t="shared" si="5"/>
        <v>250.00605792289227</v>
      </c>
      <c r="Q5" s="544">
        <v>0</v>
      </c>
      <c r="R5" s="544">
        <v>0</v>
      </c>
      <c r="S5" s="544">
        <v>0</v>
      </c>
      <c r="T5" s="479">
        <f>T4*(1+'Fayette County Statistics'!$L$5)</f>
        <v>12506.006444924235</v>
      </c>
      <c r="U5" s="479">
        <f>U4*(1+'Fayette County Statistics'!$L$5)</f>
        <v>9347.117339466733</v>
      </c>
      <c r="V5" s="479">
        <f>V4*(1+'Fayette County Statistics'!$L$5)</f>
        <v>5316.2018880981295</v>
      </c>
      <c r="W5" s="544">
        <f>W4*(1+'Fayette County Statistics'!$L$5)</f>
        <v>191.3832679715326</v>
      </c>
      <c r="X5" s="544">
        <v>0</v>
      </c>
      <c r="Y5" s="479">
        <f t="shared" si="6"/>
        <v>0</v>
      </c>
      <c r="Z5" s="479">
        <f t="shared" si="7"/>
        <v>75.665122952173448</v>
      </c>
      <c r="AA5" s="479">
        <f t="shared" si="8"/>
        <v>438.8492399798655</v>
      </c>
      <c r="AB5" s="479">
        <v>0</v>
      </c>
      <c r="AC5" s="479">
        <v>0</v>
      </c>
      <c r="AD5" s="479">
        <v>0</v>
      </c>
      <c r="AE5" s="544">
        <f t="shared" si="9"/>
        <v>191.3832679715326</v>
      </c>
      <c r="AF5" s="544">
        <f t="shared" si="10"/>
        <v>267.04839092370605</v>
      </c>
      <c r="AG5" s="544">
        <f t="shared" si="11"/>
        <v>630.23250795139813</v>
      </c>
      <c r="AH5" s="544">
        <v>0</v>
      </c>
      <c r="AI5" s="544">
        <v>0</v>
      </c>
      <c r="AJ5" s="544">
        <v>0</v>
      </c>
      <c r="AK5" s="479">
        <f>AK4*(1+'Fayette County Statistics'!$L$5)</f>
        <v>14133.356860450738</v>
      </c>
      <c r="AL5" s="479">
        <f>AL4*(1+'Fayette County Statistics'!$L$5)</f>
        <v>10789.711589627341</v>
      </c>
      <c r="AM5" s="479">
        <f>AM4*(1+'Fayette County Statistics'!$L$5)</f>
        <v>6445.2868847233731</v>
      </c>
      <c r="AN5" s="544">
        <f>AN4*(1+'Fayette County Statistics'!$L$5)</f>
        <v>148.24159834863758</v>
      </c>
      <c r="AO5" s="544">
        <v>0</v>
      </c>
      <c r="AP5" s="479">
        <f t="shared" si="12"/>
        <v>0</v>
      </c>
      <c r="AQ5" s="479">
        <f t="shared" si="13"/>
        <v>72.80716602823685</v>
      </c>
      <c r="AR5" s="479">
        <f t="shared" si="14"/>
        <v>361.2214662350392</v>
      </c>
      <c r="AS5" s="479">
        <v>0</v>
      </c>
      <c r="AT5" s="479">
        <v>0</v>
      </c>
      <c r="AU5" s="479">
        <v>0</v>
      </c>
      <c r="AV5" s="544">
        <f t="shared" si="15"/>
        <v>148.24159834863758</v>
      </c>
      <c r="AW5" s="544">
        <f t="shared" si="16"/>
        <v>221.04876437687443</v>
      </c>
      <c r="AX5" s="544">
        <f t="shared" si="17"/>
        <v>509.46306458367678</v>
      </c>
      <c r="AY5" s="544">
        <v>0</v>
      </c>
      <c r="AZ5" s="544">
        <v>0</v>
      </c>
      <c r="BA5" s="544">
        <v>0</v>
      </c>
      <c r="BB5" s="479">
        <f t="shared" si="18"/>
        <v>30757.417074437959</v>
      </c>
      <c r="BC5" s="479">
        <f t="shared" si="19"/>
        <v>23651.506018894928</v>
      </c>
      <c r="BD5" s="479">
        <f t="shared" si="20"/>
        <v>13769.541363909986</v>
      </c>
      <c r="BE5" s="544">
        <f t="shared" si="21"/>
        <v>415.93086478153259</v>
      </c>
      <c r="BF5" s="544">
        <f t="shared" si="22"/>
        <v>0</v>
      </c>
      <c r="BG5" s="479">
        <f t="shared" si="23"/>
        <v>0</v>
      </c>
      <c r="BH5" s="479">
        <f t="shared" si="24"/>
        <v>177.79219703188619</v>
      </c>
      <c r="BI5" s="479">
        <f t="shared" si="25"/>
        <v>973.77076567643462</v>
      </c>
      <c r="BJ5" s="479">
        <f t="shared" si="26"/>
        <v>0</v>
      </c>
      <c r="BK5" s="479">
        <f t="shared" si="27"/>
        <v>0</v>
      </c>
      <c r="BL5" s="479">
        <f t="shared" si="28"/>
        <v>0</v>
      </c>
      <c r="BM5" s="544">
        <f t="shared" si="29"/>
        <v>415.93086478153259</v>
      </c>
      <c r="BN5" s="544">
        <f t="shared" si="30"/>
        <v>593.72306181341878</v>
      </c>
      <c r="BO5" s="544">
        <f t="shared" si="31"/>
        <v>1389.7016304579672</v>
      </c>
      <c r="BP5" s="544">
        <f t="shared" si="32"/>
        <v>0</v>
      </c>
      <c r="BQ5" s="544">
        <f t="shared" si="33"/>
        <v>0</v>
      </c>
      <c r="BR5" s="544">
        <f t="shared" si="34"/>
        <v>0</v>
      </c>
    </row>
    <row r="6" spans="2:70" x14ac:dyDescent="0.25">
      <c r="B6" s="486">
        <f t="shared" si="35"/>
        <v>2017</v>
      </c>
      <c r="C6" s="479">
        <f>C5*(1+'Fayette County Statistics'!$L$5)</f>
        <v>4164.1774781522072</v>
      </c>
      <c r="D6" s="479">
        <f>D5*(1+'Fayette County Statistics'!$L$5)</f>
        <v>3554.0427592951164</v>
      </c>
      <c r="E6" s="479">
        <f>E5*(1+'Fayette County Statistics'!$L$5)</f>
        <v>2030.5435148940496</v>
      </c>
      <c r="F6" s="544">
        <f>F5*(1+'Fayette County Statistics'!$L$5)</f>
        <v>77.160653565973888</v>
      </c>
      <c r="G6" s="544">
        <v>0</v>
      </c>
      <c r="H6" s="479">
        <f t="shared" si="0"/>
        <v>0</v>
      </c>
      <c r="I6" s="479">
        <f>O6-F6</f>
        <v>29.648301750375254</v>
      </c>
      <c r="J6" s="479">
        <f t="shared" si="2"/>
        <v>175.64556368771846</v>
      </c>
      <c r="K6" s="479">
        <v>0</v>
      </c>
      <c r="L6" s="479">
        <v>0</v>
      </c>
      <c r="M6" s="479">
        <v>0</v>
      </c>
      <c r="N6" s="544">
        <f t="shared" si="3"/>
        <v>77.160653565973888</v>
      </c>
      <c r="O6" s="544">
        <f t="shared" si="4"/>
        <v>106.80895531634914</v>
      </c>
      <c r="P6" s="544">
        <f t="shared" si="5"/>
        <v>252.80621725369235</v>
      </c>
      <c r="Q6" s="544">
        <v>0</v>
      </c>
      <c r="R6" s="544">
        <v>0</v>
      </c>
      <c r="S6" s="544">
        <v>0</v>
      </c>
      <c r="T6" s="479">
        <f>T5*(1+'Fayette County Statistics'!$L$5)</f>
        <v>12646.078293297611</v>
      </c>
      <c r="U6" s="479">
        <f>U5*(1+'Fayette County Statistics'!$L$5)</f>
        <v>9451.8084739602164</v>
      </c>
      <c r="V6" s="479">
        <f>V5*(1+'Fayette County Statistics'!$L$5)</f>
        <v>5375.74529454617</v>
      </c>
      <c r="W6" s="544">
        <f>W5*(1+'Fayette County Statistics'!$L$5)</f>
        <v>193.52683060366206</v>
      </c>
      <c r="X6" s="544">
        <v>0</v>
      </c>
      <c r="Y6" s="479">
        <f t="shared" si="6"/>
        <v>0</v>
      </c>
      <c r="Z6" s="479">
        <f t="shared" si="7"/>
        <v>76.512600016573288</v>
      </c>
      <c r="AA6" s="479">
        <f t="shared" si="8"/>
        <v>443.76451205108532</v>
      </c>
      <c r="AB6" s="479">
        <v>0</v>
      </c>
      <c r="AC6" s="479">
        <v>0</v>
      </c>
      <c r="AD6" s="479">
        <v>0</v>
      </c>
      <c r="AE6" s="544">
        <f t="shared" si="9"/>
        <v>193.52683060366206</v>
      </c>
      <c r="AF6" s="544">
        <f t="shared" si="10"/>
        <v>270.03943062023535</v>
      </c>
      <c r="AG6" s="544">
        <f t="shared" si="11"/>
        <v>637.29134265474738</v>
      </c>
      <c r="AH6" s="544">
        <v>0</v>
      </c>
      <c r="AI6" s="544">
        <v>0</v>
      </c>
      <c r="AJ6" s="544">
        <v>0</v>
      </c>
      <c r="AK6" s="479">
        <f>AK5*(1+'Fayette County Statistics'!$L$5)</f>
        <v>14291.65562895708</v>
      </c>
      <c r="AL6" s="479">
        <f>AL5*(1+'Fayette County Statistics'!$L$5)</f>
        <v>10910.560307595828</v>
      </c>
      <c r="AM6" s="479">
        <f>AM5*(1+'Fayette County Statistics'!$L$5)</f>
        <v>6517.4764562877072</v>
      </c>
      <c r="AN6" s="544">
        <f>AN5*(1+'Fayette County Statistics'!$L$5)</f>
        <v>149.90195849461728</v>
      </c>
      <c r="AO6" s="544">
        <v>0</v>
      </c>
      <c r="AP6" s="479">
        <f t="shared" si="12"/>
        <v>0</v>
      </c>
      <c r="AQ6" s="479">
        <f t="shared" si="13"/>
        <v>73.622632929306775</v>
      </c>
      <c r="AR6" s="479">
        <f t="shared" si="14"/>
        <v>365.26727883480953</v>
      </c>
      <c r="AS6" s="479">
        <v>0</v>
      </c>
      <c r="AT6" s="479">
        <v>0</v>
      </c>
      <c r="AU6" s="479">
        <v>0</v>
      </c>
      <c r="AV6" s="544">
        <f t="shared" si="15"/>
        <v>149.90195849461728</v>
      </c>
      <c r="AW6" s="544">
        <f t="shared" si="16"/>
        <v>223.52459142392405</v>
      </c>
      <c r="AX6" s="544">
        <f t="shared" si="17"/>
        <v>515.16923732942678</v>
      </c>
      <c r="AY6" s="544">
        <v>0</v>
      </c>
      <c r="AZ6" s="544">
        <v>0</v>
      </c>
      <c r="BA6" s="544">
        <v>0</v>
      </c>
      <c r="BB6" s="479">
        <f t="shared" si="18"/>
        <v>31101.911400406898</v>
      </c>
      <c r="BC6" s="479">
        <f t="shared" si="19"/>
        <v>23916.411540851161</v>
      </c>
      <c r="BD6" s="479">
        <f t="shared" si="20"/>
        <v>13923.765265727927</v>
      </c>
      <c r="BE6" s="544">
        <f t="shared" si="21"/>
        <v>420.58944266425317</v>
      </c>
      <c r="BF6" s="544">
        <f t="shared" si="22"/>
        <v>0</v>
      </c>
      <c r="BG6" s="479">
        <f t="shared" si="23"/>
        <v>0</v>
      </c>
      <c r="BH6" s="479">
        <f t="shared" si="24"/>
        <v>179.78353469625532</v>
      </c>
      <c r="BI6" s="479">
        <f t="shared" si="25"/>
        <v>984.67735457361334</v>
      </c>
      <c r="BJ6" s="479">
        <f t="shared" si="26"/>
        <v>0</v>
      </c>
      <c r="BK6" s="479">
        <f t="shared" si="27"/>
        <v>0</v>
      </c>
      <c r="BL6" s="479">
        <f t="shared" si="28"/>
        <v>0</v>
      </c>
      <c r="BM6" s="544">
        <f t="shared" si="29"/>
        <v>420.58944266425317</v>
      </c>
      <c r="BN6" s="544">
        <f t="shared" si="30"/>
        <v>600.37297736050846</v>
      </c>
      <c r="BO6" s="544">
        <f t="shared" si="31"/>
        <v>1405.2667972378665</v>
      </c>
      <c r="BP6" s="544">
        <f t="shared" si="32"/>
        <v>0</v>
      </c>
      <c r="BQ6" s="544">
        <f t="shared" si="33"/>
        <v>0</v>
      </c>
      <c r="BR6" s="544">
        <f t="shared" si="34"/>
        <v>0</v>
      </c>
    </row>
    <row r="7" spans="2:70" x14ac:dyDescent="0.25">
      <c r="B7" s="486">
        <v>2018</v>
      </c>
      <c r="C7" s="479">
        <f>C6*(1+'Fayette County Statistics'!$L$5)</f>
        <v>4210.8177896607858</v>
      </c>
      <c r="D7" s="479">
        <f>D6*(1+'Fayette County Statistics'!$L$5)</f>
        <v>3593.8493386923733</v>
      </c>
      <c r="E7" s="479">
        <f>E6*(1+'Fayette County Statistics'!$L$5)</f>
        <v>2053.2863452761035</v>
      </c>
      <c r="F7" s="544">
        <f>F6*(1+'Fayette County Statistics'!$L$5)</f>
        <v>78.024881120491926</v>
      </c>
      <c r="G7" s="544">
        <v>0</v>
      </c>
      <c r="H7" s="479">
        <f t="shared" si="0"/>
        <v>0</v>
      </c>
      <c r="I7" s="479">
        <f t="shared" si="1"/>
        <v>29.980373578867869</v>
      </c>
      <c r="J7" s="479">
        <f t="shared" si="2"/>
        <v>177.6128582731381</v>
      </c>
      <c r="K7" s="479">
        <v>0</v>
      </c>
      <c r="L7" s="479">
        <v>0</v>
      </c>
      <c r="M7" s="479">
        <v>0</v>
      </c>
      <c r="N7" s="544">
        <f t="shared" si="3"/>
        <v>78.024881120491926</v>
      </c>
      <c r="O7" s="544">
        <f t="shared" si="4"/>
        <v>108.0052546993598</v>
      </c>
      <c r="P7" s="544">
        <f t="shared" si="5"/>
        <v>255.63773939363003</v>
      </c>
      <c r="Q7" s="544">
        <v>0</v>
      </c>
      <c r="R7" s="544">
        <v>0</v>
      </c>
      <c r="S7" s="544">
        <v>0</v>
      </c>
      <c r="T7" s="479">
        <f>T6*(1+'Fayette County Statistics'!$L$5)</f>
        <v>12787.718997627773</v>
      </c>
      <c r="U7" s="479">
        <f>U6*(1+'Fayette County Statistics'!$L$5)</f>
        <v>9557.6721874685427</v>
      </c>
      <c r="V7" s="479">
        <f>V6*(1+'Fayette County Statistics'!$L$5)</f>
        <v>5435.9556089345151</v>
      </c>
      <c r="W7" s="544">
        <f>W6*(1+'Fayette County Statistics'!$L$5)</f>
        <v>195.69440192164248</v>
      </c>
      <c r="X7" s="544">
        <v>0</v>
      </c>
      <c r="Y7" s="479">
        <f t="shared" si="6"/>
        <v>0</v>
      </c>
      <c r="Z7" s="479">
        <f t="shared" si="7"/>
        <v>77.369569134202635</v>
      </c>
      <c r="AA7" s="479">
        <f t="shared" si="8"/>
        <v>448.73483696809626</v>
      </c>
      <c r="AB7" s="479">
        <v>0</v>
      </c>
      <c r="AC7" s="479">
        <v>0</v>
      </c>
      <c r="AD7" s="479">
        <v>0</v>
      </c>
      <c r="AE7" s="544">
        <f t="shared" si="9"/>
        <v>195.69440192164248</v>
      </c>
      <c r="AF7" s="544">
        <f t="shared" si="10"/>
        <v>273.06397105584512</v>
      </c>
      <c r="AG7" s="544">
        <f t="shared" si="11"/>
        <v>644.42923888973871</v>
      </c>
      <c r="AH7" s="544">
        <v>0</v>
      </c>
      <c r="AI7" s="544">
        <v>0</v>
      </c>
      <c r="AJ7" s="544">
        <v>0</v>
      </c>
      <c r="AK7" s="479">
        <f>AK6*(1+'Fayette County Statistics'!$L$5)</f>
        <v>14451.727401595281</v>
      </c>
      <c r="AL7" s="479">
        <f>AL6*(1+'Fayette County Statistics'!$L$5)</f>
        <v>11032.762575426452</v>
      </c>
      <c r="AM7" s="479">
        <f>AM6*(1+'Fayette County Statistics'!$L$5)</f>
        <v>6590.4745774691255</v>
      </c>
      <c r="AN7" s="544">
        <f>AN6*(1+'Fayette County Statistics'!$L$5)</f>
        <v>151.58091528178991</v>
      </c>
      <c r="AO7" s="544">
        <v>0</v>
      </c>
      <c r="AP7" s="479">
        <f t="shared" si="12"/>
        <v>0</v>
      </c>
      <c r="AQ7" s="479">
        <f t="shared" si="13"/>
        <v>74.447233358063784</v>
      </c>
      <c r="AR7" s="479">
        <f t="shared" si="14"/>
        <v>369.35840601613859</v>
      </c>
      <c r="AS7" s="479">
        <v>0</v>
      </c>
      <c r="AT7" s="479">
        <v>0</v>
      </c>
      <c r="AU7" s="479">
        <v>0</v>
      </c>
      <c r="AV7" s="544">
        <f t="shared" si="15"/>
        <v>151.58091528178991</v>
      </c>
      <c r="AW7" s="544">
        <f t="shared" si="16"/>
        <v>226.0281486398537</v>
      </c>
      <c r="AX7" s="544">
        <f t="shared" si="17"/>
        <v>520.93932129792847</v>
      </c>
      <c r="AY7" s="544">
        <v>0</v>
      </c>
      <c r="AZ7" s="544">
        <v>0</v>
      </c>
      <c r="BA7" s="544">
        <v>0</v>
      </c>
      <c r="BB7" s="479">
        <f t="shared" si="18"/>
        <v>31450.264188883841</v>
      </c>
      <c r="BC7" s="479">
        <f t="shared" si="19"/>
        <v>24184.284101587367</v>
      </c>
      <c r="BD7" s="479">
        <f t="shared" si="20"/>
        <v>14079.716531679744</v>
      </c>
      <c r="BE7" s="544">
        <f t="shared" si="21"/>
        <v>425.30019832392429</v>
      </c>
      <c r="BF7" s="544">
        <f t="shared" si="22"/>
        <v>0</v>
      </c>
      <c r="BG7" s="479">
        <f t="shared" si="23"/>
        <v>0</v>
      </c>
      <c r="BH7" s="479">
        <f t="shared" si="24"/>
        <v>181.79717607113429</v>
      </c>
      <c r="BI7" s="479">
        <f t="shared" si="25"/>
        <v>995.70610125737289</v>
      </c>
      <c r="BJ7" s="479">
        <f t="shared" si="26"/>
        <v>0</v>
      </c>
      <c r="BK7" s="479">
        <f t="shared" si="27"/>
        <v>0</v>
      </c>
      <c r="BL7" s="479">
        <f t="shared" si="28"/>
        <v>0</v>
      </c>
      <c r="BM7" s="544">
        <f t="shared" si="29"/>
        <v>425.30019832392429</v>
      </c>
      <c r="BN7" s="544">
        <f t="shared" si="30"/>
        <v>607.09737439505864</v>
      </c>
      <c r="BO7" s="544">
        <f t="shared" si="31"/>
        <v>1421.0062995812973</v>
      </c>
      <c r="BP7" s="544">
        <f t="shared" si="32"/>
        <v>0</v>
      </c>
      <c r="BQ7" s="544">
        <f t="shared" si="33"/>
        <v>0</v>
      </c>
      <c r="BR7" s="544">
        <f t="shared" si="34"/>
        <v>0</v>
      </c>
    </row>
    <row r="8" spans="2:70" x14ac:dyDescent="0.25">
      <c r="B8" s="486">
        <v>2019</v>
      </c>
      <c r="C8" s="479">
        <f>C7*(1+'Fayette County Statistics'!$L$5)</f>
        <v>4257.980489724855</v>
      </c>
      <c r="D8" s="479">
        <f>D7*(1+'Fayette County Statistics'!$L$5)</f>
        <v>3634.1017663448783</v>
      </c>
      <c r="E8" s="479">
        <f>E7*(1+'Fayette County Statistics'!$L$5)</f>
        <v>2076.2839036804785</v>
      </c>
      <c r="F8" s="544">
        <f>F7*(1+'Fayette County Statistics'!$L$5)</f>
        <v>78.898788339858186</v>
      </c>
      <c r="G8" s="544">
        <v>0</v>
      </c>
      <c r="H8" s="479">
        <f t="shared" si="0"/>
        <v>0</v>
      </c>
      <c r="I8" s="479">
        <f t="shared" si="1"/>
        <v>30.316164733351144</v>
      </c>
      <c r="J8" s="479">
        <f t="shared" si="2"/>
        <v>179.60218727778562</v>
      </c>
      <c r="K8" s="479">
        <v>0</v>
      </c>
      <c r="L8" s="479">
        <v>0</v>
      </c>
      <c r="M8" s="479">
        <v>0</v>
      </c>
      <c r="N8" s="544">
        <f t="shared" si="3"/>
        <v>78.898788339858186</v>
      </c>
      <c r="O8" s="544">
        <f t="shared" si="4"/>
        <v>109.21495307320933</v>
      </c>
      <c r="P8" s="544">
        <f t="shared" si="5"/>
        <v>258.5009756176438</v>
      </c>
      <c r="Q8" s="544">
        <v>0</v>
      </c>
      <c r="R8" s="544">
        <v>0</v>
      </c>
      <c r="S8" s="544">
        <v>0</v>
      </c>
      <c r="T8" s="479">
        <f>T7*(1+'Fayette County Statistics'!$L$5)</f>
        <v>12930.946129675514</v>
      </c>
      <c r="U8" s="479">
        <f>U7*(1+'Fayette County Statistics'!$L$5)</f>
        <v>9664.7216133057482</v>
      </c>
      <c r="V8" s="479">
        <f>V7*(1+'Fayette County Statistics'!$L$5)</f>
        <v>5496.8403008761316</v>
      </c>
      <c r="W8" s="544">
        <f>W7*(1+'Fayette County Statistics'!$L$5)</f>
        <v>197.88625083154065</v>
      </c>
      <c r="X8" s="544">
        <v>0</v>
      </c>
      <c r="Y8" s="479">
        <f t="shared" si="6"/>
        <v>0</v>
      </c>
      <c r="Z8" s="479">
        <f t="shared" si="7"/>
        <v>78.236136619531095</v>
      </c>
      <c r="AA8" s="479">
        <f t="shared" si="8"/>
        <v>453.76083134291571</v>
      </c>
      <c r="AB8" s="479">
        <v>0</v>
      </c>
      <c r="AC8" s="479">
        <v>0</v>
      </c>
      <c r="AD8" s="479">
        <v>0</v>
      </c>
      <c r="AE8" s="544">
        <f t="shared" si="9"/>
        <v>197.88625083154065</v>
      </c>
      <c r="AF8" s="544">
        <f t="shared" si="10"/>
        <v>276.12238745107175</v>
      </c>
      <c r="AG8" s="544">
        <f t="shared" si="11"/>
        <v>651.64708217445639</v>
      </c>
      <c r="AH8" s="544">
        <v>0</v>
      </c>
      <c r="AI8" s="544">
        <v>0</v>
      </c>
      <c r="AJ8" s="544">
        <v>0</v>
      </c>
      <c r="AK8" s="479">
        <f>AK7*(1+'Fayette County Statistics'!$L$5)</f>
        <v>14613.592036660395</v>
      </c>
      <c r="AL8" s="479">
        <f>AL7*(1+'Fayette County Statistics'!$L$5)</f>
        <v>11156.333553372957</v>
      </c>
      <c r="AM8" s="479">
        <f>AM7*(1+'Fayette County Statistics'!$L$5)</f>
        <v>6664.2903043192036</v>
      </c>
      <c r="AN8" s="544">
        <f>AN7*(1+'Fayette County Statistics'!$L$5)</f>
        <v>153.27867699934171</v>
      </c>
      <c r="AO8" s="544">
        <v>0</v>
      </c>
      <c r="AP8" s="479">
        <f t="shared" si="12"/>
        <v>0</v>
      </c>
      <c r="AQ8" s="479">
        <f t="shared" si="13"/>
        <v>75.28106961336016</v>
      </c>
      <c r="AR8" s="479">
        <f t="shared" si="14"/>
        <v>373.49535531892121</v>
      </c>
      <c r="AS8" s="479">
        <v>0</v>
      </c>
      <c r="AT8" s="479">
        <v>0</v>
      </c>
      <c r="AU8" s="479">
        <v>0</v>
      </c>
      <c r="AV8" s="544">
        <f t="shared" si="15"/>
        <v>153.27867699934171</v>
      </c>
      <c r="AW8" s="544">
        <f t="shared" si="16"/>
        <v>228.55974661270187</v>
      </c>
      <c r="AX8" s="544">
        <f t="shared" si="17"/>
        <v>526.77403231826293</v>
      </c>
      <c r="AY8" s="544">
        <v>0</v>
      </c>
      <c r="AZ8" s="544">
        <v>0</v>
      </c>
      <c r="BA8" s="544">
        <v>0</v>
      </c>
      <c r="BB8" s="479">
        <f t="shared" si="18"/>
        <v>31802.518656060762</v>
      </c>
      <c r="BC8" s="479">
        <f t="shared" si="19"/>
        <v>24455.156933023583</v>
      </c>
      <c r="BD8" s="479">
        <f t="shared" si="20"/>
        <v>14237.414508875814</v>
      </c>
      <c r="BE8" s="544">
        <f t="shared" si="21"/>
        <v>430.06371617074052</v>
      </c>
      <c r="BF8" s="544">
        <f t="shared" si="22"/>
        <v>0</v>
      </c>
      <c r="BG8" s="479">
        <f t="shared" si="23"/>
        <v>0</v>
      </c>
      <c r="BH8" s="479">
        <f t="shared" si="24"/>
        <v>183.8333709662424</v>
      </c>
      <c r="BI8" s="479">
        <f t="shared" si="25"/>
        <v>1006.8583739396224</v>
      </c>
      <c r="BJ8" s="479">
        <f t="shared" si="26"/>
        <v>0</v>
      </c>
      <c r="BK8" s="479">
        <f t="shared" si="27"/>
        <v>0</v>
      </c>
      <c r="BL8" s="479">
        <f t="shared" si="28"/>
        <v>0</v>
      </c>
      <c r="BM8" s="544">
        <f t="shared" si="29"/>
        <v>430.06371617074052</v>
      </c>
      <c r="BN8" s="544">
        <f t="shared" si="30"/>
        <v>613.89708713698292</v>
      </c>
      <c r="BO8" s="544">
        <f t="shared" si="31"/>
        <v>1436.9220901103631</v>
      </c>
      <c r="BP8" s="544">
        <f t="shared" si="32"/>
        <v>0</v>
      </c>
      <c r="BQ8" s="544">
        <f t="shared" si="33"/>
        <v>0</v>
      </c>
      <c r="BR8" s="544">
        <f t="shared" si="34"/>
        <v>0</v>
      </c>
    </row>
    <row r="9" spans="2:70" s="590" customFormat="1" x14ac:dyDescent="0.25">
      <c r="B9" s="588">
        <v>2020</v>
      </c>
      <c r="C9" s="589">
        <f>C8*(1+'Fayette County Statistics'!$L$5)</f>
        <v>4305.6714292873885</v>
      </c>
      <c r="D9" s="589">
        <f>D8*(1+'Fayette County Statistics'!$L$5)</f>
        <v>3674.8050359162353</v>
      </c>
      <c r="E9" s="589">
        <f>E8*(1+'Fayette County Statistics'!$L$5)</f>
        <v>2099.5390431542351</v>
      </c>
      <c r="F9" s="589">
        <f>F8*(1+'Fayette County Statistics'!$L$5)</f>
        <v>79.782483639860942</v>
      </c>
      <c r="G9" s="589">
        <f>(F9*(2.93-1))</f>
        <v>153.98019342493163</v>
      </c>
      <c r="H9" s="589">
        <f t="shared" ref="H9" si="36">N9-F9</f>
        <v>0</v>
      </c>
      <c r="I9" s="589">
        <f t="shared" ref="I9" si="37">O9-F9</f>
        <v>30.655716871637125</v>
      </c>
      <c r="J9" s="589">
        <f t="shared" ref="J9" si="38">P9-F9</f>
        <v>181.6137974952193</v>
      </c>
      <c r="K9" s="589">
        <f t="shared" ref="K9" si="39">Q9-G9</f>
        <v>0</v>
      </c>
      <c r="L9" s="589">
        <f t="shared" ref="L9" si="40">R9-G9</f>
        <v>59.165533562259668</v>
      </c>
      <c r="M9" s="589">
        <f t="shared" ref="M9" si="41">S9-G9</f>
        <v>350.51462916577327</v>
      </c>
      <c r="N9" s="589">
        <f t="shared" ref="N9" si="42">F9</f>
        <v>79.782483639860942</v>
      </c>
      <c r="O9" s="589">
        <f t="shared" ref="O9" si="43">(0.004*D9)+(1.2*F9)</f>
        <v>110.43820051149807</v>
      </c>
      <c r="P9" s="589">
        <f t="shared" ref="P9" si="44">(0.006*D9)+(3*F9)</f>
        <v>261.39628113508024</v>
      </c>
      <c r="Q9" s="589">
        <f t="shared" ref="Q9:S10" si="45">(N9*(2.93-1))</f>
        <v>153.98019342493163</v>
      </c>
      <c r="R9" s="589">
        <f t="shared" si="45"/>
        <v>213.1457269871913</v>
      </c>
      <c r="S9" s="589">
        <f t="shared" si="45"/>
        <v>504.49482259070493</v>
      </c>
      <c r="T9" s="589">
        <f>T8*(1+'Fayette County Statistics'!$L$5)</f>
        <v>13075.777458011775</v>
      </c>
      <c r="U9" s="589">
        <f>U8*(1+'Fayette County Statistics'!$L$5)</f>
        <v>9772.9700318837913</v>
      </c>
      <c r="V9" s="589">
        <f>V8*(1+'Fayette County Statistics'!$L$5)</f>
        <v>5558.4069236463829</v>
      </c>
      <c r="W9" s="589">
        <f>W8*(1+'Fayette County Statistics'!$L$5)</f>
        <v>200.1026492512697</v>
      </c>
      <c r="X9" s="589">
        <f>(W9*(2.11-1))</f>
        <v>222.11394066890935</v>
      </c>
      <c r="Y9" s="589">
        <f t="shared" ref="Y9" si="46">AE9-W9</f>
        <v>0</v>
      </c>
      <c r="Z9" s="589">
        <f t="shared" ref="Z9" si="47">AF9-W9</f>
        <v>79.112409977789099</v>
      </c>
      <c r="AA9" s="589">
        <f t="shared" ref="AA9" si="48">AG9-W9</f>
        <v>458.84311869384214</v>
      </c>
      <c r="AB9" s="589">
        <f t="shared" ref="AB9" si="49">AH9-X9</f>
        <v>0</v>
      </c>
      <c r="AC9" s="589">
        <f t="shared" ref="AC9" si="50">AI9-X9</f>
        <v>87.814775075345864</v>
      </c>
      <c r="AD9" s="589">
        <f t="shared" ref="AD9" si="51">AJ9-X9</f>
        <v>509.31586175016469</v>
      </c>
      <c r="AE9" s="589">
        <f t="shared" ref="AE9" si="52">W9</f>
        <v>200.1026492512697</v>
      </c>
      <c r="AF9" s="589">
        <f t="shared" ref="AF9" si="53">(0.004*U9)+(1.2*W9)</f>
        <v>279.2150592290588</v>
      </c>
      <c r="AG9" s="589">
        <f t="shared" ref="AG9" si="54">(0.006*U9)+(3*W9)</f>
        <v>658.94576794511181</v>
      </c>
      <c r="AH9" s="589">
        <f t="shared" ref="AH9:AJ10" si="55">(AE9*(2.11-1))</f>
        <v>222.11394066890935</v>
      </c>
      <c r="AI9" s="589">
        <f t="shared" si="55"/>
        <v>309.92871574425521</v>
      </c>
      <c r="AJ9" s="589">
        <f t="shared" si="55"/>
        <v>731.42980241907401</v>
      </c>
      <c r="AK9" s="589">
        <f>AK8*(1+'Fayette County Statistics'!$L$5)</f>
        <v>14777.269614867646</v>
      </c>
      <c r="AL9" s="589">
        <f>AL8*(1+'Fayette County Statistics'!$L$5)</f>
        <v>11281.28857148948</v>
      </c>
      <c r="AM9" s="589">
        <f>AM8*(1+'Fayette County Statistics'!$L$5)</f>
        <v>6738.9327943206081</v>
      </c>
      <c r="AN9" s="589">
        <f>AN8*(1+'Fayette County Statistics'!$L$5)</f>
        <v>154.99545426937402</v>
      </c>
      <c r="AO9" s="589">
        <f>(AN9*(1.39-1))</f>
        <v>60.448227165055854</v>
      </c>
      <c r="AP9" s="589">
        <f t="shared" ref="AP9" si="56">AV9-AN9</f>
        <v>0</v>
      </c>
      <c r="AQ9" s="589">
        <f t="shared" ref="AQ9" si="57">AW9-AN9</f>
        <v>76.124245139832738</v>
      </c>
      <c r="AR9" s="589">
        <f t="shared" ref="AR9" si="58">AX9-AN9</f>
        <v>377.67863996768494</v>
      </c>
      <c r="AS9" s="589">
        <f t="shared" ref="AS9" si="59">AY9-AO9</f>
        <v>0</v>
      </c>
      <c r="AT9" s="589">
        <f t="shared" ref="AT9" si="60">AZ9-AO9</f>
        <v>29.688455604534752</v>
      </c>
      <c r="AU9" s="589">
        <f t="shared" ref="AU9" si="61">BA9-AO9</f>
        <v>147.2946695873971</v>
      </c>
      <c r="AV9" s="589">
        <f t="shared" ref="AV9" si="62">AN9</f>
        <v>154.99545426937402</v>
      </c>
      <c r="AW9" s="589">
        <f t="shared" ref="AW9" si="63">(0.004*AL9)+(1.2*AN9)</f>
        <v>231.11969940920676</v>
      </c>
      <c r="AX9" s="589">
        <f t="shared" ref="AX9" si="64">(0.006*AL9)+(3*AN9)</f>
        <v>532.67409423705897</v>
      </c>
      <c r="AY9" s="589">
        <f t="shared" ref="AY9:BA10" si="65">(AV9*(1.39-1))</f>
        <v>60.448227165055854</v>
      </c>
      <c r="AZ9" s="589">
        <f t="shared" si="65"/>
        <v>90.136682769590607</v>
      </c>
      <c r="BA9" s="589">
        <f t="shared" si="65"/>
        <v>207.74289675245294</v>
      </c>
      <c r="BB9" s="589">
        <f t="shared" ref="BB9" si="66">SUM(C9,T9,AK9)</f>
        <v>32158.718502166812</v>
      </c>
      <c r="BC9" s="589">
        <f t="shared" ref="BC9" si="67">SUM(D9,U9,AL9)</f>
        <v>24729.063639289507</v>
      </c>
      <c r="BD9" s="589">
        <f t="shared" ref="BD9" si="68">SUM(E9,V9,AM9)</f>
        <v>14396.878761121226</v>
      </c>
      <c r="BE9" s="589">
        <f t="shared" ref="BE9" si="69">SUM(F9,W9,AN9)</f>
        <v>434.88058716050466</v>
      </c>
      <c r="BF9" s="589">
        <f t="shared" ref="BF9" si="70">SUM(G9,X9,AO9)</f>
        <v>436.54236125889685</v>
      </c>
      <c r="BG9" s="589">
        <f t="shared" ref="BG9" si="71">SUM(H9,Y9,AP9)</f>
        <v>0</v>
      </c>
      <c r="BH9" s="589">
        <f t="shared" ref="BH9" si="72">SUM(I9,Z9,AQ9)</f>
        <v>185.89237198925895</v>
      </c>
      <c r="BI9" s="589">
        <f t="shared" ref="BI9" si="73">SUM(J9,AA9,AR9)</f>
        <v>1018.1355561567464</v>
      </c>
      <c r="BJ9" s="589">
        <f t="shared" ref="BJ9" si="74">SUM(K9,AB9,AS9)</f>
        <v>0</v>
      </c>
      <c r="BK9" s="589">
        <f t="shared" ref="BK9" si="75">SUM(L9,AC9,AT9)</f>
        <v>176.6687642421403</v>
      </c>
      <c r="BL9" s="589">
        <f t="shared" ref="BL9" si="76">SUM(M9,AD9,AU9)</f>
        <v>1007.1251605033351</v>
      </c>
      <c r="BM9" s="589">
        <f t="shared" ref="BM9" si="77">SUM(N9,AE9,AV9)</f>
        <v>434.88058716050466</v>
      </c>
      <c r="BN9" s="589">
        <f t="shared" ref="BN9" si="78">SUM(O9,AF9,AW9)</f>
        <v>620.77295914976366</v>
      </c>
      <c r="BO9" s="589">
        <f t="shared" ref="BO9" si="79">SUM(P9,AG9,AX9)</f>
        <v>1453.0161433172511</v>
      </c>
      <c r="BP9" s="589">
        <f t="shared" ref="BP9" si="80">SUM(Q9,AH9,AY9)</f>
        <v>436.54236125889685</v>
      </c>
      <c r="BQ9" s="589">
        <f>SUM(R9,AI9,AZ9)</f>
        <v>613.21112550103715</v>
      </c>
      <c r="BR9" s="589">
        <f t="shared" ref="BR9" si="81">SUM(S9,AJ9,BA9)</f>
        <v>1443.6675217622319</v>
      </c>
    </row>
    <row r="10" spans="2:70" x14ac:dyDescent="0.25">
      <c r="B10" s="486">
        <v>2021</v>
      </c>
      <c r="C10" s="479">
        <f>C9*(1+'Fayette County Statistics'!$L$5)</f>
        <v>4353.896524824062</v>
      </c>
      <c r="D10" s="479">
        <f>D9*(1+'Fayette County Statistics'!$L$5)</f>
        <v>3715.964197000907</v>
      </c>
      <c r="E10" s="479">
        <f>E9*(1+'Fayette County Statistics'!$L$5)</f>
        <v>2123.0546486996041</v>
      </c>
      <c r="F10" s="544">
        <f>F9*(1+'Fayette County Statistics'!$L$5)</f>
        <v>80.676076650584974</v>
      </c>
      <c r="G10" s="544">
        <f>(F10*(2.93-1))</f>
        <v>155.70482793562903</v>
      </c>
      <c r="H10" s="479">
        <f t="shared" si="0"/>
        <v>0</v>
      </c>
      <c r="I10" s="479">
        <f t="shared" si="1"/>
        <v>30.999072118120623</v>
      </c>
      <c r="J10" s="479">
        <f t="shared" si="2"/>
        <v>183.64793848317541</v>
      </c>
      <c r="K10" s="479">
        <f t="shared" ref="K10:K36" si="82">Q10-G10</f>
        <v>0</v>
      </c>
      <c r="L10" s="479">
        <f t="shared" ref="L10:L36" si="83">R10-G10</f>
        <v>59.828209187972789</v>
      </c>
      <c r="M10" s="479">
        <f t="shared" ref="M10:M36" si="84">S10-G10</f>
        <v>354.4405212725286</v>
      </c>
      <c r="N10" s="544">
        <f t="shared" si="3"/>
        <v>80.676076650584974</v>
      </c>
      <c r="O10" s="544">
        <f t="shared" si="4"/>
        <v>111.6751487687056</v>
      </c>
      <c r="P10" s="544">
        <f t="shared" si="5"/>
        <v>264.32401513376038</v>
      </c>
      <c r="Q10" s="544">
        <f t="shared" si="45"/>
        <v>155.70482793562903</v>
      </c>
      <c r="R10" s="544">
        <f t="shared" si="45"/>
        <v>215.53303712360182</v>
      </c>
      <c r="S10" s="544">
        <f t="shared" si="45"/>
        <v>510.1453492081576</v>
      </c>
      <c r="T10" s="479">
        <f>T9*(1+'Fayette County Statistics'!$L$5)</f>
        <v>13222.230950221992</v>
      </c>
      <c r="U10" s="479">
        <f>U9*(1+'Fayette County Statistics'!$L$5)</f>
        <v>9882.4308723601025</v>
      </c>
      <c r="V10" s="479">
        <f>V9*(1+'Fayette County Statistics'!$L$5)</f>
        <v>5620.6631151200818</v>
      </c>
      <c r="W10" s="544">
        <f>W9*(1+'Fayette County Statistics'!$L$5)</f>
        <v>202.34387214432286</v>
      </c>
      <c r="X10" s="544">
        <f>(W10*(2.11-1))</f>
        <v>224.60169808019836</v>
      </c>
      <c r="Y10" s="479">
        <f t="shared" si="6"/>
        <v>0</v>
      </c>
      <c r="Z10" s="479">
        <f t="shared" si="7"/>
        <v>79.998497918304963</v>
      </c>
      <c r="AA10" s="479">
        <f t="shared" si="8"/>
        <v>463.98232952280637</v>
      </c>
      <c r="AB10" s="479">
        <f t="shared" ref="AB10:AB36" si="85">AH10-X10</f>
        <v>0</v>
      </c>
      <c r="AC10" s="479">
        <f t="shared" ref="AC10:AC36" si="86">AI10-X10</f>
        <v>88.798332689318471</v>
      </c>
      <c r="AD10" s="479">
        <f t="shared" ref="AD10:AD36" si="87">AJ10-X10</f>
        <v>515.02038577031499</v>
      </c>
      <c r="AE10" s="544">
        <f t="shared" si="9"/>
        <v>202.34387214432286</v>
      </c>
      <c r="AF10" s="544">
        <f t="shared" si="10"/>
        <v>282.34237006262782</v>
      </c>
      <c r="AG10" s="544">
        <f t="shared" si="11"/>
        <v>666.32620166712923</v>
      </c>
      <c r="AH10" s="544">
        <f t="shared" si="55"/>
        <v>224.60169808019836</v>
      </c>
      <c r="AI10" s="544">
        <f t="shared" si="55"/>
        <v>313.40003076951683</v>
      </c>
      <c r="AJ10" s="544">
        <f t="shared" si="55"/>
        <v>739.62208385051338</v>
      </c>
      <c r="AK10" s="479">
        <f>AK9*(1+'Fayette County Statistics'!$L$5)</f>
        <v>14942.780441843617</v>
      </c>
      <c r="AL10" s="479">
        <f>AL9*(1+'Fayette County Statistics'!$L$5)</f>
        <v>11407.643131532372</v>
      </c>
      <c r="AM10" s="479">
        <f>AM9*(1+'Fayette County Statistics'!$L$5)</f>
        <v>6814.4113075231626</v>
      </c>
      <c r="AN10" s="544">
        <f>AN9*(1+'Fayette County Statistics'!$L$5)</f>
        <v>156.73146007303279</v>
      </c>
      <c r="AO10" s="544">
        <f>(AN10*(1.39-1))</f>
        <v>61.125269428482774</v>
      </c>
      <c r="AP10" s="479">
        <f t="shared" si="12"/>
        <v>0</v>
      </c>
      <c r="AQ10" s="479">
        <f t="shared" si="13"/>
        <v>76.976864540736045</v>
      </c>
      <c r="AR10" s="479">
        <f t="shared" si="14"/>
        <v>381.90877893525982</v>
      </c>
      <c r="AS10" s="479">
        <f t="shared" ref="AS10:AS36" si="88">AY10-AO10</f>
        <v>0</v>
      </c>
      <c r="AT10" s="479">
        <f t="shared" ref="AT10:AT36" si="89">AZ10-AO10</f>
        <v>30.020977170887043</v>
      </c>
      <c r="AU10" s="479">
        <f t="shared" ref="AU10:AU36" si="90">BA10-AO10</f>
        <v>148.94442378475131</v>
      </c>
      <c r="AV10" s="544">
        <f t="shared" si="15"/>
        <v>156.73146007303279</v>
      </c>
      <c r="AW10" s="544">
        <f t="shared" si="16"/>
        <v>233.70832461376884</v>
      </c>
      <c r="AX10" s="544">
        <f t="shared" si="17"/>
        <v>538.64023900829261</v>
      </c>
      <c r="AY10" s="544">
        <f t="shared" si="65"/>
        <v>61.125269428482774</v>
      </c>
      <c r="AZ10" s="544">
        <f t="shared" si="65"/>
        <v>91.146246599369817</v>
      </c>
      <c r="BA10" s="544">
        <f t="shared" si="65"/>
        <v>210.06969321323407</v>
      </c>
      <c r="BB10" s="479">
        <f t="shared" si="18"/>
        <v>32518.907916889671</v>
      </c>
      <c r="BC10" s="479">
        <f t="shared" si="19"/>
        <v>25006.038200893381</v>
      </c>
      <c r="BD10" s="479">
        <f t="shared" si="20"/>
        <v>14558.12907134285</v>
      </c>
      <c r="BE10" s="544">
        <f t="shared" si="21"/>
        <v>439.7514088679406</v>
      </c>
      <c r="BF10" s="544">
        <f t="shared" si="22"/>
        <v>441.43179544431018</v>
      </c>
      <c r="BG10" s="479">
        <f t="shared" si="23"/>
        <v>0</v>
      </c>
      <c r="BH10" s="479">
        <f t="shared" si="24"/>
        <v>187.97443457716162</v>
      </c>
      <c r="BI10" s="479">
        <f t="shared" si="25"/>
        <v>1029.5390469412416</v>
      </c>
      <c r="BJ10" s="479">
        <f t="shared" si="26"/>
        <v>0</v>
      </c>
      <c r="BK10" s="479">
        <f t="shared" si="27"/>
        <v>178.64751904817831</v>
      </c>
      <c r="BL10" s="479">
        <f t="shared" si="28"/>
        <v>1018.4053308275949</v>
      </c>
      <c r="BM10" s="544">
        <f t="shared" si="29"/>
        <v>439.7514088679406</v>
      </c>
      <c r="BN10" s="544">
        <f t="shared" si="30"/>
        <v>627.72584344510221</v>
      </c>
      <c r="BO10" s="544">
        <f t="shared" si="31"/>
        <v>1469.2904558091823</v>
      </c>
      <c r="BP10" s="544">
        <f t="shared" si="32"/>
        <v>441.43179544431018</v>
      </c>
      <c r="BQ10" s="544">
        <f t="shared" si="33"/>
        <v>620.07931449248849</v>
      </c>
      <c r="BR10" s="544">
        <f t="shared" si="34"/>
        <v>1459.8371262719052</v>
      </c>
    </row>
    <row r="11" spans="2:70" x14ac:dyDescent="0.25">
      <c r="B11" s="486">
        <v>2022</v>
      </c>
      <c r="C11" s="479">
        <f>C10*(1+'Fayette County Statistics'!$L$5)</f>
        <v>4402.661759077243</v>
      </c>
      <c r="D11" s="479">
        <f>D10*(1+'Fayette County Statistics'!$L$5)</f>
        <v>3757.5843557506619</v>
      </c>
      <c r="E11" s="479">
        <f>E10*(1+'Fayette County Statistics'!$L$5)</f>
        <v>2146.8336376318975</v>
      </c>
      <c r="F11" s="544">
        <f>F10*(1+'Fayette County Statistics'!$L$5)</f>
        <v>81.579678230012121</v>
      </c>
      <c r="G11" s="544">
        <f t="shared" ref="G11:G38" si="91">(F11*(2.93-1))</f>
        <v>157.4487789839234</v>
      </c>
      <c r="H11" s="479">
        <f t="shared" si="0"/>
        <v>0</v>
      </c>
      <c r="I11" s="479">
        <f t="shared" si="1"/>
        <v>31.346273069005065</v>
      </c>
      <c r="J11" s="479">
        <f t="shared" si="2"/>
        <v>185.70486259452821</v>
      </c>
      <c r="K11" s="479">
        <f t="shared" si="82"/>
        <v>0</v>
      </c>
      <c r="L11" s="479">
        <f t="shared" si="83"/>
        <v>60.498307023179791</v>
      </c>
      <c r="M11" s="479">
        <f t="shared" si="84"/>
        <v>358.41038480743953</v>
      </c>
      <c r="N11" s="544">
        <f t="shared" si="3"/>
        <v>81.579678230012121</v>
      </c>
      <c r="O11" s="544">
        <f t="shared" si="4"/>
        <v>112.92595129901719</v>
      </c>
      <c r="P11" s="544">
        <f t="shared" si="5"/>
        <v>267.28454082454033</v>
      </c>
      <c r="Q11" s="544">
        <f>(N11*(2.93-1))</f>
        <v>157.4487789839234</v>
      </c>
      <c r="R11" s="544">
        <f t="shared" ref="R11:R38" si="92">(O11*(2.93-1))</f>
        <v>217.9470860071032</v>
      </c>
      <c r="S11" s="544">
        <f t="shared" ref="S11:S38" si="93">(P11*(2.93-1))</f>
        <v>515.8591637913629</v>
      </c>
      <c r="T11" s="479">
        <f>T10*(1+'Fayette County Statistics'!$L$5)</f>
        <v>13370.324775135135</v>
      </c>
      <c r="U11" s="479">
        <f>U10*(1+'Fayette County Statistics'!$L$5)</f>
        <v>9993.1177143035929</v>
      </c>
      <c r="V11" s="479">
        <f>V10*(1+'Fayette County Statistics'!$L$5)</f>
        <v>5683.6165987190343</v>
      </c>
      <c r="W11" s="544">
        <f>W10*(1+'Fayette County Statistics'!$L$5)</f>
        <v>204.61019755388514</v>
      </c>
      <c r="X11" s="544">
        <f t="shared" ref="X11:X38" si="94">(W11*(2.11-1))</f>
        <v>227.11731928481248</v>
      </c>
      <c r="Y11" s="479">
        <f t="shared" si="6"/>
        <v>0</v>
      </c>
      <c r="Z11" s="479">
        <f t="shared" si="7"/>
        <v>80.894510367991359</v>
      </c>
      <c r="AA11" s="479">
        <f t="shared" si="8"/>
        <v>469.17910139359179</v>
      </c>
      <c r="AB11" s="479">
        <f t="shared" si="85"/>
        <v>0</v>
      </c>
      <c r="AC11" s="479">
        <f t="shared" si="86"/>
        <v>89.792906508470423</v>
      </c>
      <c r="AD11" s="479">
        <f t="shared" si="87"/>
        <v>520.78880254688693</v>
      </c>
      <c r="AE11" s="544">
        <f t="shared" si="9"/>
        <v>204.61019755388514</v>
      </c>
      <c r="AF11" s="544">
        <f t="shared" si="10"/>
        <v>285.5047079218765</v>
      </c>
      <c r="AG11" s="544">
        <f t="shared" si="11"/>
        <v>673.78929894747694</v>
      </c>
      <c r="AH11" s="544">
        <f t="shared" ref="AH11:AH38" si="95">(AE11*(2.11-1))</f>
        <v>227.11731928481248</v>
      </c>
      <c r="AI11" s="544">
        <f t="shared" ref="AI11:AI38" si="96">(AF11*(2.11-1))</f>
        <v>316.9102257932829</v>
      </c>
      <c r="AJ11" s="544">
        <f t="shared" ref="AJ11:AJ38" si="97">(AG11*(2.11-1))</f>
        <v>747.90612183169935</v>
      </c>
      <c r="AK11" s="479">
        <f>AK10*(1+'Fayette County Statistics'!$L$5)</f>
        <v>15110.14505064534</v>
      </c>
      <c r="AL11" s="479">
        <f>AL10*(1+'Fayette County Statistics'!$L$5)</f>
        <v>11535.412908883327</v>
      </c>
      <c r="AM11" s="479">
        <f>AM10*(1+'Fayette County Statistics'!$L$5)</f>
        <v>6890.7352076926372</v>
      </c>
      <c r="AN11" s="544">
        <f>AN10*(1+'Fayette County Statistics'!$L$5)</f>
        <v>158.4869097769307</v>
      </c>
      <c r="AO11" s="544">
        <f t="shared" ref="AO11:AO38" si="98">(AN11*(1.39-1))</f>
        <v>61.809894813002956</v>
      </c>
      <c r="AP11" s="479">
        <f t="shared" si="12"/>
        <v>0</v>
      </c>
      <c r="AQ11" s="479">
        <f t="shared" si="13"/>
        <v>77.839033590919428</v>
      </c>
      <c r="AR11" s="479">
        <f t="shared" si="14"/>
        <v>386.18629700716133</v>
      </c>
      <c r="AS11" s="479">
        <f t="shared" si="88"/>
        <v>0</v>
      </c>
      <c r="AT11" s="479">
        <f t="shared" si="89"/>
        <v>30.357223100458569</v>
      </c>
      <c r="AU11" s="479">
        <f t="shared" si="90"/>
        <v>150.61265583279288</v>
      </c>
      <c r="AV11" s="544">
        <f t="shared" si="15"/>
        <v>158.4869097769307</v>
      </c>
      <c r="AW11" s="544">
        <f t="shared" si="16"/>
        <v>236.32594336785013</v>
      </c>
      <c r="AX11" s="544">
        <f t="shared" si="17"/>
        <v>544.67320678409203</v>
      </c>
      <c r="AY11" s="544">
        <f t="shared" ref="AY11:AY38" si="99">(AV11*(1.39-1))</f>
        <v>61.809894813002956</v>
      </c>
      <c r="AZ11" s="544">
        <f t="shared" ref="AZ11:AZ38" si="100">(AW11*(1.39-1))</f>
        <v>92.167117913461524</v>
      </c>
      <c r="BA11" s="544">
        <f t="shared" ref="BA11:BA38" si="101">(AX11*(1.39-1))</f>
        <v>212.42255064579584</v>
      </c>
      <c r="BB11" s="479">
        <f t="shared" si="18"/>
        <v>32883.131584857721</v>
      </c>
      <c r="BC11" s="479">
        <f t="shared" si="19"/>
        <v>25286.114978937581</v>
      </c>
      <c r="BD11" s="479">
        <f t="shared" si="20"/>
        <v>14721.185444043569</v>
      </c>
      <c r="BE11" s="544">
        <f t="shared" si="21"/>
        <v>444.67678556082797</v>
      </c>
      <c r="BF11" s="544">
        <f t="shared" si="22"/>
        <v>446.3759930817389</v>
      </c>
      <c r="BG11" s="479">
        <f t="shared" si="23"/>
        <v>0</v>
      </c>
      <c r="BH11" s="479">
        <f t="shared" si="24"/>
        <v>190.07981702791585</v>
      </c>
      <c r="BI11" s="479">
        <f t="shared" si="25"/>
        <v>1041.0702609952814</v>
      </c>
      <c r="BJ11" s="479">
        <f t="shared" si="26"/>
        <v>0</v>
      </c>
      <c r="BK11" s="479">
        <f t="shared" si="27"/>
        <v>180.64843663210877</v>
      </c>
      <c r="BL11" s="479">
        <f t="shared" si="28"/>
        <v>1029.8118431871194</v>
      </c>
      <c r="BM11" s="544">
        <f t="shared" si="29"/>
        <v>444.67678556082797</v>
      </c>
      <c r="BN11" s="544">
        <f t="shared" si="30"/>
        <v>634.75660258874382</v>
      </c>
      <c r="BO11" s="544">
        <f t="shared" si="31"/>
        <v>1485.7470465561091</v>
      </c>
      <c r="BP11" s="544">
        <f t="shared" si="32"/>
        <v>446.3759930817389</v>
      </c>
      <c r="BQ11" s="544">
        <f t="shared" si="33"/>
        <v>627.02442971384767</v>
      </c>
      <c r="BR11" s="544">
        <f t="shared" si="34"/>
        <v>1476.1878362688581</v>
      </c>
    </row>
    <row r="12" spans="2:70" x14ac:dyDescent="0.25">
      <c r="B12" s="486">
        <v>2023</v>
      </c>
      <c r="C12" s="479">
        <f>C11*(1+'Fayette County Statistics'!$L$5)</f>
        <v>4451.9731817982047</v>
      </c>
      <c r="D12" s="479">
        <f>D11*(1+'Fayette County Statistics'!$L$5)</f>
        <v>3799.6706755080372</v>
      </c>
      <c r="E12" s="479">
        <f>E11*(1+'Fayette County Statistics'!$L$5)</f>
        <v>2170.8789599414258</v>
      </c>
      <c r="F12" s="544">
        <f>F11*(1+'Fayette County Statistics'!$L$5)</f>
        <v>82.493400477774188</v>
      </c>
      <c r="G12" s="544">
        <f t="shared" si="91"/>
        <v>159.2122629221042</v>
      </c>
      <c r="H12" s="479">
        <f>N12-F12</f>
        <v>0</v>
      </c>
      <c r="I12" s="479">
        <f>O12-F12</f>
        <v>31.697362797586976</v>
      </c>
      <c r="J12" s="479">
        <f>P12-F12</f>
        <v>187.78482500859661</v>
      </c>
      <c r="K12" s="479">
        <f>Q12-G12</f>
        <v>0</v>
      </c>
      <c r="L12" s="479">
        <f>R12-G12</f>
        <v>61.175910199342866</v>
      </c>
      <c r="M12" s="479">
        <f>S12-G12</f>
        <v>362.42471226659154</v>
      </c>
      <c r="N12" s="544">
        <f>F12</f>
        <v>82.493400477774188</v>
      </c>
      <c r="O12" s="544">
        <f>(0.004*D12)+(1.2*F12)</f>
        <v>114.19076327536116</v>
      </c>
      <c r="P12" s="544">
        <f>(0.006*D12)+(3*F12)</f>
        <v>270.27822548637079</v>
      </c>
      <c r="Q12" s="544">
        <f t="shared" ref="Q12:Q38" si="102">(N12*(2.93-1))</f>
        <v>159.2122629221042</v>
      </c>
      <c r="R12" s="544">
        <f t="shared" si="92"/>
        <v>220.38817312144707</v>
      </c>
      <c r="S12" s="544">
        <f t="shared" si="93"/>
        <v>521.63697518869571</v>
      </c>
      <c r="T12" s="479">
        <f>T11*(1+'Fayette County Statistics'!$L$5)</f>
        <v>13520.077305077708</v>
      </c>
      <c r="U12" s="479">
        <f>U11*(1+'Fayette County Statistics'!$L$5)</f>
        <v>10105.044289379312</v>
      </c>
      <c r="V12" s="479">
        <f>V11*(1+'Fayette County Statistics'!$L$5)</f>
        <v>5747.2751843701953</v>
      </c>
      <c r="W12" s="544">
        <f>W11*(1+'Fayette County Statistics'!$L$5)</f>
        <v>206.90190663732693</v>
      </c>
      <c r="X12" s="544">
        <f t="shared" si="94"/>
        <v>229.66111636743287</v>
      </c>
      <c r="Y12" s="479">
        <f t="shared" si="6"/>
        <v>0</v>
      </c>
      <c r="Z12" s="479">
        <f t="shared" si="7"/>
        <v>81.800558484982616</v>
      </c>
      <c r="AA12" s="479">
        <f t="shared" si="8"/>
        <v>474.43407901092979</v>
      </c>
      <c r="AB12" s="479">
        <f t="shared" si="85"/>
        <v>0</v>
      </c>
      <c r="AC12" s="479">
        <f t="shared" si="86"/>
        <v>90.798619918330672</v>
      </c>
      <c r="AD12" s="479">
        <f t="shared" si="87"/>
        <v>526.62182770213201</v>
      </c>
      <c r="AE12" s="544">
        <f t="shared" si="9"/>
        <v>206.90190663732693</v>
      </c>
      <c r="AF12" s="544">
        <f t="shared" si="10"/>
        <v>288.70246512230955</v>
      </c>
      <c r="AG12" s="544">
        <f t="shared" si="11"/>
        <v>681.33598564825672</v>
      </c>
      <c r="AH12" s="544">
        <f t="shared" si="95"/>
        <v>229.66111636743287</v>
      </c>
      <c r="AI12" s="544">
        <f t="shared" si="96"/>
        <v>320.45973628576354</v>
      </c>
      <c r="AJ12" s="544">
        <f t="shared" si="97"/>
        <v>756.28294406956491</v>
      </c>
      <c r="AK12" s="479">
        <f>AK11*(1+'Fayette County Statistics'!$L$5)</f>
        <v>15279.384204307598</v>
      </c>
      <c r="AL12" s="479">
        <f>AL11*(1+'Fayette County Statistics'!$L$5)</f>
        <v>11664.613754494052</v>
      </c>
      <c r="AM12" s="479">
        <f>AM11*(1+'Fayette County Statistics'!$L$5)</f>
        <v>6967.9139634724052</v>
      </c>
      <c r="AN12" s="544">
        <f>AN11*(1+'Fayette County Statistics'!$L$5)</f>
        <v>160.26202115986536</v>
      </c>
      <c r="AO12" s="544">
        <f t="shared" si="98"/>
        <v>62.502188252347473</v>
      </c>
      <c r="AP12" s="479">
        <f t="shared" si="12"/>
        <v>0</v>
      </c>
      <c r="AQ12" s="479">
        <f t="shared" si="13"/>
        <v>78.710859249949294</v>
      </c>
      <c r="AR12" s="479">
        <f t="shared" si="14"/>
        <v>390.51172484669502</v>
      </c>
      <c r="AS12" s="479">
        <f t="shared" si="88"/>
        <v>0</v>
      </c>
      <c r="AT12" s="479">
        <f t="shared" si="89"/>
        <v>30.697235107480218</v>
      </c>
      <c r="AU12" s="479">
        <f t="shared" si="90"/>
        <v>152.29957269021102</v>
      </c>
      <c r="AV12" s="544">
        <f t="shared" si="15"/>
        <v>160.26202115986536</v>
      </c>
      <c r="AW12" s="544">
        <f t="shared" si="16"/>
        <v>238.97288040981465</v>
      </c>
      <c r="AX12" s="544">
        <f t="shared" si="17"/>
        <v>550.77374600656037</v>
      </c>
      <c r="AY12" s="544">
        <f t="shared" si="99"/>
        <v>62.502188252347473</v>
      </c>
      <c r="AZ12" s="544">
        <f t="shared" si="100"/>
        <v>93.199423359827691</v>
      </c>
      <c r="BA12" s="544">
        <f t="shared" si="101"/>
        <v>214.8017609425585</v>
      </c>
      <c r="BB12" s="479">
        <f t="shared" si="18"/>
        <v>33251.434691183509</v>
      </c>
      <c r="BC12" s="479">
        <f t="shared" si="19"/>
        <v>25569.328719381403</v>
      </c>
      <c r="BD12" s="479">
        <f t="shared" si="20"/>
        <v>14886.068107784027</v>
      </c>
      <c r="BE12" s="544">
        <f t="shared" si="21"/>
        <v>449.65732827496646</v>
      </c>
      <c r="BF12" s="544">
        <f t="shared" si="22"/>
        <v>451.37556754188455</v>
      </c>
      <c r="BG12" s="479">
        <f t="shared" si="23"/>
        <v>0</v>
      </c>
      <c r="BH12" s="479">
        <f t="shared" si="24"/>
        <v>192.20878053251889</v>
      </c>
      <c r="BI12" s="479">
        <f t="shared" si="25"/>
        <v>1052.7306288662214</v>
      </c>
      <c r="BJ12" s="479">
        <f t="shared" si="26"/>
        <v>0</v>
      </c>
      <c r="BK12" s="479">
        <f t="shared" si="27"/>
        <v>182.67176522515376</v>
      </c>
      <c r="BL12" s="479">
        <f t="shared" si="28"/>
        <v>1041.3461126589345</v>
      </c>
      <c r="BM12" s="544">
        <f t="shared" si="29"/>
        <v>449.65732827496646</v>
      </c>
      <c r="BN12" s="544">
        <f t="shared" si="30"/>
        <v>641.86610880748538</v>
      </c>
      <c r="BO12" s="544">
        <f t="shared" si="31"/>
        <v>1502.3879571411881</v>
      </c>
      <c r="BP12" s="544">
        <f t="shared" si="32"/>
        <v>451.37556754188455</v>
      </c>
      <c r="BQ12" s="544">
        <f t="shared" si="33"/>
        <v>634.04733276703837</v>
      </c>
      <c r="BR12" s="544">
        <f t="shared" si="34"/>
        <v>1492.721680200819</v>
      </c>
    </row>
    <row r="13" spans="2:70" x14ac:dyDescent="0.25">
      <c r="B13" s="486">
        <v>2024</v>
      </c>
      <c r="C13" s="479">
        <f>C12*(1+'Fayette County Statistics'!$L$5)</f>
        <v>4501.8369104976464</v>
      </c>
      <c r="D13" s="479">
        <f>D12*(1+'Fayette County Statistics'!$L$5)</f>
        <v>3842.2283774468956</v>
      </c>
      <c r="E13" s="479">
        <f>E12*(1+'Fayette County Statistics'!$L$5)</f>
        <v>2195.1935986594704</v>
      </c>
      <c r="F13" s="544">
        <f>F12*(1+'Fayette County Statistics'!$L$5)</f>
        <v>83.417356749059877</v>
      </c>
      <c r="G13" s="544">
        <f>(F13*(2.93-1))</f>
        <v>160.99549852568558</v>
      </c>
      <c r="H13" s="479">
        <f t="shared" si="0"/>
        <v>0</v>
      </c>
      <c r="I13" s="479">
        <f t="shared" si="1"/>
        <v>32.052384859599556</v>
      </c>
      <c r="J13" s="479">
        <f t="shared" si="2"/>
        <v>189.8880837628011</v>
      </c>
      <c r="K13" s="479">
        <f>Q13-G13</f>
        <v>0</v>
      </c>
      <c r="L13" s="479">
        <f t="shared" si="83"/>
        <v>61.861102779027135</v>
      </c>
      <c r="M13" s="479">
        <f t="shared" si="84"/>
        <v>366.4840016622062</v>
      </c>
      <c r="N13" s="544">
        <f t="shared" si="3"/>
        <v>83.417356749059877</v>
      </c>
      <c r="O13" s="544">
        <f t="shared" si="4"/>
        <v>115.46974160865943</v>
      </c>
      <c r="P13" s="544">
        <f t="shared" si="5"/>
        <v>273.30544051186098</v>
      </c>
      <c r="Q13" s="544">
        <f t="shared" si="102"/>
        <v>160.99549852568558</v>
      </c>
      <c r="R13" s="544">
        <f t="shared" si="92"/>
        <v>222.85660130471271</v>
      </c>
      <c r="S13" s="544">
        <f t="shared" si="93"/>
        <v>527.47950018789174</v>
      </c>
      <c r="T13" s="479">
        <f>T12*(1+'Fayette County Statistics'!$L$5)</f>
        <v>13671.507118152991</v>
      </c>
      <c r="U13" s="479">
        <f>U12*(1+'Fayette County Statistics'!$L$5)</f>
        <v>10218.224483051981</v>
      </c>
      <c r="V13" s="479">
        <f>V12*(1+'Fayette County Statistics'!$L$5)</f>
        <v>5811.6467694745597</v>
      </c>
      <c r="W13" s="544">
        <f>W12*(1+'Fayette County Statistics'!$L$5)</f>
        <v>209.21928370108404</v>
      </c>
      <c r="X13" s="544">
        <f t="shared" si="94"/>
        <v>232.23340490820325</v>
      </c>
      <c r="Y13" s="479">
        <f t="shared" si="6"/>
        <v>0</v>
      </c>
      <c r="Z13" s="479">
        <f t="shared" si="7"/>
        <v>82.716754672424742</v>
      </c>
      <c r="AA13" s="479">
        <f t="shared" si="8"/>
        <v>479.74791430048003</v>
      </c>
      <c r="AB13" s="479">
        <f t="shared" si="85"/>
        <v>0</v>
      </c>
      <c r="AC13" s="479">
        <f t="shared" si="86"/>
        <v>91.815597686391442</v>
      </c>
      <c r="AD13" s="479">
        <f t="shared" si="87"/>
        <v>532.52018487353268</v>
      </c>
      <c r="AE13" s="544">
        <f t="shared" si="9"/>
        <v>209.21928370108404</v>
      </c>
      <c r="AF13" s="544">
        <f t="shared" si="10"/>
        <v>291.93603837350878</v>
      </c>
      <c r="AG13" s="544">
        <f t="shared" si="11"/>
        <v>688.96719800156404</v>
      </c>
      <c r="AH13" s="544">
        <f t="shared" si="95"/>
        <v>232.23340490820325</v>
      </c>
      <c r="AI13" s="544">
        <f t="shared" si="96"/>
        <v>324.0490025945947</v>
      </c>
      <c r="AJ13" s="544">
        <f t="shared" si="97"/>
        <v>764.75358978173597</v>
      </c>
      <c r="AK13" s="479">
        <f>AK12*(1+'Fayette County Statistics'!$L$5)</f>
        <v>15450.518898418761</v>
      </c>
      <c r="AL13" s="479">
        <f>AL12*(1+'Fayette County Statistics'!$L$5)</f>
        <v>11795.261696852711</v>
      </c>
      <c r="AM13" s="479">
        <f>AM12*(1+'Fayette County Statistics'!$L$5)</f>
        <v>7045.9571495581094</v>
      </c>
      <c r="AN13" s="544">
        <f>AN12*(1+'Fayette County Statistics'!$L$5)</f>
        <v>162.05701443983654</v>
      </c>
      <c r="AO13" s="544">
        <f t="shared" si="98"/>
        <v>63.202235631536233</v>
      </c>
      <c r="AP13" s="479">
        <f t="shared" si="12"/>
        <v>0</v>
      </c>
      <c r="AQ13" s="479">
        <f t="shared" si="13"/>
        <v>79.592449675378163</v>
      </c>
      <c r="AR13" s="479">
        <f t="shared" si="14"/>
        <v>394.88559906078933</v>
      </c>
      <c r="AS13" s="479">
        <f t="shared" si="88"/>
        <v>0</v>
      </c>
      <c r="AT13" s="479">
        <f t="shared" si="89"/>
        <v>31.041055373397477</v>
      </c>
      <c r="AU13" s="479">
        <f t="shared" si="90"/>
        <v>154.00538363370779</v>
      </c>
      <c r="AV13" s="544">
        <f t="shared" si="15"/>
        <v>162.05701443983654</v>
      </c>
      <c r="AW13" s="544">
        <f t="shared" si="16"/>
        <v>241.6494641152147</v>
      </c>
      <c r="AX13" s="544">
        <f t="shared" si="17"/>
        <v>556.94261350062584</v>
      </c>
      <c r="AY13" s="544">
        <f t="shared" si="99"/>
        <v>63.202235631536233</v>
      </c>
      <c r="AZ13" s="544">
        <f t="shared" si="100"/>
        <v>94.24329100493371</v>
      </c>
      <c r="BA13" s="544">
        <f t="shared" si="101"/>
        <v>217.20761926524403</v>
      </c>
      <c r="BB13" s="479">
        <f t="shared" si="18"/>
        <v>33623.8629270694</v>
      </c>
      <c r="BC13" s="479">
        <f t="shared" si="19"/>
        <v>25855.714557351588</v>
      </c>
      <c r="BD13" s="479">
        <f t="shared" si="20"/>
        <v>15052.797517692139</v>
      </c>
      <c r="BE13" s="544">
        <f t="shared" si="21"/>
        <v>454.69365488998039</v>
      </c>
      <c r="BF13" s="544">
        <f t="shared" si="22"/>
        <v>456.43113906542504</v>
      </c>
      <c r="BG13" s="479">
        <f t="shared" si="23"/>
        <v>0</v>
      </c>
      <c r="BH13" s="479">
        <f t="shared" si="24"/>
        <v>194.36158920740246</v>
      </c>
      <c r="BI13" s="479">
        <f t="shared" si="25"/>
        <v>1064.5215971240705</v>
      </c>
      <c r="BJ13" s="479">
        <f t="shared" si="26"/>
        <v>0</v>
      </c>
      <c r="BK13" s="479">
        <f t="shared" si="27"/>
        <v>184.71775583881606</v>
      </c>
      <c r="BL13" s="479">
        <f t="shared" si="28"/>
        <v>1053.0095701694468</v>
      </c>
      <c r="BM13" s="544">
        <f t="shared" si="29"/>
        <v>454.69365488998039</v>
      </c>
      <c r="BN13" s="544">
        <f t="shared" si="30"/>
        <v>649.05524409738291</v>
      </c>
      <c r="BO13" s="544">
        <f t="shared" si="31"/>
        <v>1519.2152520140507</v>
      </c>
      <c r="BP13" s="544">
        <f t="shared" si="32"/>
        <v>456.43113906542504</v>
      </c>
      <c r="BQ13" s="544">
        <f t="shared" si="33"/>
        <v>641.14889490424105</v>
      </c>
      <c r="BR13" s="544">
        <f t="shared" si="34"/>
        <v>1509.4407092348715</v>
      </c>
    </row>
    <row r="14" spans="2:70" x14ac:dyDescent="0.25">
      <c r="B14" s="486">
        <v>2025</v>
      </c>
      <c r="C14" s="479">
        <f>C13*(1+'Fayette County Statistics'!$L$5)</f>
        <v>4552.259131204627</v>
      </c>
      <c r="D14" s="479">
        <f>D13*(1+'Fayette County Statistics'!$L$5)</f>
        <v>3885.2627412201573</v>
      </c>
      <c r="E14" s="479">
        <f>E13*(1+'Fayette County Statistics'!$L$5)</f>
        <v>2219.7805702283545</v>
      </c>
      <c r="F14" s="544">
        <f>F13*(1+'Fayette County Statistics'!$L$5)</f>
        <v>84.35166166867748</v>
      </c>
      <c r="G14" s="544">
        <f t="shared" si="91"/>
        <v>162.79870702054754</v>
      </c>
      <c r="H14" s="479">
        <f t="shared" si="0"/>
        <v>0</v>
      </c>
      <c r="I14" s="479">
        <f t="shared" si="1"/>
        <v>32.411383298616116</v>
      </c>
      <c r="J14" s="479">
        <f t="shared" si="2"/>
        <v>192.01489978467589</v>
      </c>
      <c r="K14" s="479">
        <f t="shared" si="82"/>
        <v>0</v>
      </c>
      <c r="L14" s="479">
        <f t="shared" si="83"/>
        <v>62.553969766329118</v>
      </c>
      <c r="M14" s="479">
        <f t="shared" si="84"/>
        <v>370.58875658442446</v>
      </c>
      <c r="N14" s="544">
        <f t="shared" si="3"/>
        <v>84.35166166867748</v>
      </c>
      <c r="O14" s="544">
        <f t="shared" si="4"/>
        <v>116.7630449672936</v>
      </c>
      <c r="P14" s="544">
        <f t="shared" si="5"/>
        <v>276.36656145335337</v>
      </c>
      <c r="Q14" s="544">
        <f t="shared" si="102"/>
        <v>162.79870702054754</v>
      </c>
      <c r="R14" s="544">
        <f t="shared" si="92"/>
        <v>225.35267678687666</v>
      </c>
      <c r="S14" s="544">
        <f t="shared" si="93"/>
        <v>533.38746360497203</v>
      </c>
      <c r="T14" s="479">
        <f>T13*(1+'Fayette County Statistics'!$L$5)</f>
        <v>13824.633000545822</v>
      </c>
      <c r="U14" s="479">
        <f>U13*(1+'Fayette County Statistics'!$L$5)</f>
        <v>10332.672336308613</v>
      </c>
      <c r="V14" s="479">
        <f>V13*(1+'Fayette County Statistics'!$L$5)</f>
        <v>5876.7393398869035</v>
      </c>
      <c r="W14" s="544">
        <f>W13*(1+'Fayette County Statistics'!$L$5)</f>
        <v>211.56261623592843</v>
      </c>
      <c r="X14" s="544">
        <f t="shared" si="94"/>
        <v>234.83450402188052</v>
      </c>
      <c r="Y14" s="479">
        <f t="shared" si="6"/>
        <v>0</v>
      </c>
      <c r="Z14" s="479">
        <f t="shared" si="7"/>
        <v>83.643212592420127</v>
      </c>
      <c r="AA14" s="479">
        <f t="shared" si="8"/>
        <v>485.12126648970855</v>
      </c>
      <c r="AB14" s="479">
        <f t="shared" si="85"/>
        <v>0</v>
      </c>
      <c r="AC14" s="479">
        <f t="shared" si="86"/>
        <v>92.84396597758635</v>
      </c>
      <c r="AD14" s="479">
        <f t="shared" si="87"/>
        <v>538.48460580357641</v>
      </c>
      <c r="AE14" s="544">
        <f t="shared" si="9"/>
        <v>211.56261623592843</v>
      </c>
      <c r="AF14" s="544">
        <f t="shared" si="10"/>
        <v>295.20582882834856</v>
      </c>
      <c r="AG14" s="544">
        <f t="shared" si="11"/>
        <v>696.68388272563698</v>
      </c>
      <c r="AH14" s="544">
        <f t="shared" si="95"/>
        <v>234.83450402188052</v>
      </c>
      <c r="AI14" s="544">
        <f t="shared" si="96"/>
        <v>327.67846999946687</v>
      </c>
      <c r="AJ14" s="544">
        <f t="shared" si="97"/>
        <v>773.31910982545696</v>
      </c>
      <c r="AK14" s="479">
        <f>AK13*(1+'Fayette County Statistics'!$L$5)</f>
        <v>15623.57036372547</v>
      </c>
      <c r="AL14" s="479">
        <f>AL13*(1+'Fayette County Statistics'!$L$5)</f>
        <v>11927.372943972403</v>
      </c>
      <c r="AM14" s="479">
        <f>AM13*(1+'Fayette County Statistics'!$L$5)</f>
        <v>7124.8744478854887</v>
      </c>
      <c r="AN14" s="544">
        <f>AN13*(1+'Fayette County Statistics'!$L$5)</f>
        <v>163.87211230136626</v>
      </c>
      <c r="AO14" s="544">
        <f t="shared" si="98"/>
        <v>63.910123797532826</v>
      </c>
      <c r="AP14" s="479">
        <f t="shared" si="12"/>
        <v>0</v>
      </c>
      <c r="AQ14" s="479">
        <f t="shared" si="13"/>
        <v>80.48391423616286</v>
      </c>
      <c r="AR14" s="479">
        <f t="shared" si="14"/>
        <v>399.30846226656689</v>
      </c>
      <c r="AS14" s="479">
        <f t="shared" si="88"/>
        <v>0</v>
      </c>
      <c r="AT14" s="479">
        <f t="shared" si="89"/>
        <v>31.388726552103499</v>
      </c>
      <c r="AU14" s="479">
        <f t="shared" si="90"/>
        <v>155.73030028396104</v>
      </c>
      <c r="AV14" s="544">
        <f t="shared" si="15"/>
        <v>163.87211230136626</v>
      </c>
      <c r="AW14" s="544">
        <f t="shared" si="16"/>
        <v>244.35602653752912</v>
      </c>
      <c r="AX14" s="544">
        <f t="shared" si="17"/>
        <v>563.18057456793315</v>
      </c>
      <c r="AY14" s="544">
        <f t="shared" si="99"/>
        <v>63.910123797532826</v>
      </c>
      <c r="AZ14" s="544">
        <f t="shared" si="100"/>
        <v>95.298850349636325</v>
      </c>
      <c r="BA14" s="544">
        <f t="shared" si="101"/>
        <v>219.64042408149388</v>
      </c>
      <c r="BB14" s="479">
        <f t="shared" si="18"/>
        <v>34000.46249547592</v>
      </c>
      <c r="BC14" s="479">
        <f t="shared" si="19"/>
        <v>26145.308021501172</v>
      </c>
      <c r="BD14" s="479">
        <f t="shared" si="20"/>
        <v>15221.394358000747</v>
      </c>
      <c r="BE14" s="544">
        <f t="shared" si="21"/>
        <v>459.78639020597217</v>
      </c>
      <c r="BF14" s="544">
        <f t="shared" si="22"/>
        <v>461.54333483996089</v>
      </c>
      <c r="BG14" s="479">
        <f t="shared" si="23"/>
        <v>0</v>
      </c>
      <c r="BH14" s="479">
        <f t="shared" si="24"/>
        <v>196.53851012719912</v>
      </c>
      <c r="BI14" s="479">
        <f t="shared" si="25"/>
        <v>1076.4446285409513</v>
      </c>
      <c r="BJ14" s="479">
        <f t="shared" si="26"/>
        <v>0</v>
      </c>
      <c r="BK14" s="479">
        <f t="shared" si="27"/>
        <v>186.78666229601896</v>
      </c>
      <c r="BL14" s="479">
        <f t="shared" si="28"/>
        <v>1064.803662671962</v>
      </c>
      <c r="BM14" s="544">
        <f t="shared" si="29"/>
        <v>459.78639020597217</v>
      </c>
      <c r="BN14" s="544">
        <f t="shared" si="30"/>
        <v>656.32490033317129</v>
      </c>
      <c r="BO14" s="544">
        <f t="shared" si="31"/>
        <v>1536.2310187469234</v>
      </c>
      <c r="BP14" s="544">
        <f t="shared" si="32"/>
        <v>461.54333483996089</v>
      </c>
      <c r="BQ14" s="544">
        <f t="shared" si="33"/>
        <v>648.32999713597974</v>
      </c>
      <c r="BR14" s="544">
        <f t="shared" si="34"/>
        <v>1526.3469975119228</v>
      </c>
    </row>
    <row r="15" spans="2:70" x14ac:dyDescent="0.25">
      <c r="B15" s="486">
        <v>2026</v>
      </c>
      <c r="C15" s="479">
        <f>C14*(1+'Fayette County Statistics'!$L$5)</f>
        <v>4603.2460992339938</v>
      </c>
      <c r="D15" s="479">
        <f>D14*(1+'Fayette County Statistics'!$L$5)</f>
        <v>3928.7791056147876</v>
      </c>
      <c r="E15" s="479">
        <f>E14*(1+'Fayette County Statistics'!$L$5)</f>
        <v>2244.6429248756599</v>
      </c>
      <c r="F15" s="544">
        <f>F14*(1+'Fayette County Statistics'!$L$5)</f>
        <v>85.296431145275079</v>
      </c>
      <c r="G15" s="544">
        <f t="shared" si="91"/>
        <v>164.62211211038093</v>
      </c>
      <c r="H15" s="479">
        <f t="shared" si="0"/>
        <v>0</v>
      </c>
      <c r="I15" s="479">
        <f t="shared" si="1"/>
        <v>32.774402651514166</v>
      </c>
      <c r="J15" s="479">
        <f t="shared" si="2"/>
        <v>194.16553692423886</v>
      </c>
      <c r="K15" s="479">
        <f t="shared" si="82"/>
        <v>0</v>
      </c>
      <c r="L15" s="479">
        <f t="shared" si="83"/>
        <v>63.25459711742235</v>
      </c>
      <c r="M15" s="479">
        <f t="shared" si="84"/>
        <v>374.73948626378103</v>
      </c>
      <c r="N15" s="544">
        <f t="shared" si="3"/>
        <v>85.296431145275079</v>
      </c>
      <c r="O15" s="544">
        <f t="shared" si="4"/>
        <v>118.07083379678924</v>
      </c>
      <c r="P15" s="544">
        <f t="shared" si="5"/>
        <v>279.46196806951394</v>
      </c>
      <c r="Q15" s="544">
        <f t="shared" si="102"/>
        <v>164.62211211038093</v>
      </c>
      <c r="R15" s="544">
        <f t="shared" si="92"/>
        <v>227.87670922780327</v>
      </c>
      <c r="S15" s="544">
        <f t="shared" si="93"/>
        <v>539.36159837416199</v>
      </c>
      <c r="T15" s="479">
        <f>T14*(1+'Fayette County Statistics'!$L$5)</f>
        <v>13979.473948853181</v>
      </c>
      <c r="U15" s="479">
        <f>U14*(1+'Fayette County Statistics'!$L$5)</f>
        <v>10448.402047400406</v>
      </c>
      <c r="V15" s="479">
        <f>V14*(1+'Fayette County Statistics'!$L$5)</f>
        <v>5942.5609709064993</v>
      </c>
      <c r="W15" s="544">
        <f>W14*(1+'Fayette County Statistics'!$L$5)</f>
        <v>213.93219495263389</v>
      </c>
      <c r="X15" s="544">
        <f t="shared" si="94"/>
        <v>237.46473639742359</v>
      </c>
      <c r="Y15" s="479">
        <f t="shared" si="6"/>
        <v>0</v>
      </c>
      <c r="Z15" s="479">
        <f t="shared" si="7"/>
        <v>84.580047180128417</v>
      </c>
      <c r="AA15" s="479">
        <f t="shared" si="8"/>
        <v>490.55480218967028</v>
      </c>
      <c r="AB15" s="479">
        <f t="shared" si="85"/>
        <v>0</v>
      </c>
      <c r="AC15" s="479">
        <f t="shared" si="86"/>
        <v>93.883852369942559</v>
      </c>
      <c r="AD15" s="479">
        <f t="shared" si="87"/>
        <v>544.51583043053392</v>
      </c>
      <c r="AE15" s="544">
        <f t="shared" si="9"/>
        <v>213.93219495263389</v>
      </c>
      <c r="AF15" s="544">
        <f t="shared" si="10"/>
        <v>298.51224213276231</v>
      </c>
      <c r="AG15" s="544">
        <f t="shared" si="11"/>
        <v>704.48699714230418</v>
      </c>
      <c r="AH15" s="544">
        <f t="shared" si="95"/>
        <v>237.46473639742359</v>
      </c>
      <c r="AI15" s="544">
        <f t="shared" si="96"/>
        <v>331.34858876736615</v>
      </c>
      <c r="AJ15" s="544">
        <f t="shared" si="97"/>
        <v>781.98056682795755</v>
      </c>
      <c r="AK15" s="479">
        <f>AK14*(1+'Fayette County Statistics'!$L$5)</f>
        <v>15798.560068766501</v>
      </c>
      <c r="AL15" s="479">
        <f>AL14*(1+'Fayette County Statistics'!$L$5)</f>
        <v>12060.963885401901</v>
      </c>
      <c r="AM15" s="479">
        <f>AM14*(1+'Fayette County Statistics'!$L$5)</f>
        <v>7204.6756488315041</v>
      </c>
      <c r="AN15" s="544">
        <f>AN14*(1+'Fayette County Statistics'!$L$5)</f>
        <v>165.70753992312461</v>
      </c>
      <c r="AO15" s="544">
        <f t="shared" si="98"/>
        <v>64.625940570018585</v>
      </c>
      <c r="AP15" s="479">
        <f t="shared" si="12"/>
        <v>0</v>
      </c>
      <c r="AQ15" s="479">
        <f t="shared" si="13"/>
        <v>81.385363526232538</v>
      </c>
      <c r="AR15" s="479">
        <f t="shared" si="14"/>
        <v>403.78086315866062</v>
      </c>
      <c r="AS15" s="479">
        <f t="shared" si="88"/>
        <v>0</v>
      </c>
      <c r="AT15" s="479">
        <f t="shared" si="89"/>
        <v>31.740291775230673</v>
      </c>
      <c r="AU15" s="479">
        <f t="shared" si="90"/>
        <v>157.47453663187758</v>
      </c>
      <c r="AV15" s="544">
        <f t="shared" si="15"/>
        <v>165.70753992312461</v>
      </c>
      <c r="AW15" s="544">
        <f t="shared" si="16"/>
        <v>247.09290344935715</v>
      </c>
      <c r="AX15" s="544">
        <f t="shared" si="17"/>
        <v>569.48840308178524</v>
      </c>
      <c r="AY15" s="544">
        <f t="shared" si="99"/>
        <v>64.625940570018585</v>
      </c>
      <c r="AZ15" s="544">
        <f t="shared" si="100"/>
        <v>96.366232345249259</v>
      </c>
      <c r="BA15" s="544">
        <f t="shared" si="101"/>
        <v>222.10047720189618</v>
      </c>
      <c r="BB15" s="479">
        <f t="shared" si="18"/>
        <v>34381.280116853675</v>
      </c>
      <c r="BC15" s="479">
        <f t="shared" si="19"/>
        <v>26438.145038417097</v>
      </c>
      <c r="BD15" s="479">
        <f t="shared" si="20"/>
        <v>15391.879544613663</v>
      </c>
      <c r="BE15" s="544">
        <f t="shared" si="21"/>
        <v>464.93616602103361</v>
      </c>
      <c r="BF15" s="544">
        <f t="shared" si="22"/>
        <v>466.71278907782312</v>
      </c>
      <c r="BG15" s="479">
        <f t="shared" si="23"/>
        <v>0</v>
      </c>
      <c r="BH15" s="479">
        <f t="shared" si="24"/>
        <v>198.73981335787511</v>
      </c>
      <c r="BI15" s="479">
        <f t="shared" si="25"/>
        <v>1088.5012022725698</v>
      </c>
      <c r="BJ15" s="479">
        <f t="shared" si="26"/>
        <v>0</v>
      </c>
      <c r="BK15" s="479">
        <f t="shared" si="27"/>
        <v>188.87874126259558</v>
      </c>
      <c r="BL15" s="479">
        <f t="shared" si="28"/>
        <v>1076.7298533261926</v>
      </c>
      <c r="BM15" s="544">
        <f t="shared" si="29"/>
        <v>464.93616602103361</v>
      </c>
      <c r="BN15" s="544">
        <f t="shared" si="30"/>
        <v>663.67597937890878</v>
      </c>
      <c r="BO15" s="544">
        <f t="shared" si="31"/>
        <v>1553.4373682936034</v>
      </c>
      <c r="BP15" s="544">
        <f t="shared" si="32"/>
        <v>466.71278907782312</v>
      </c>
      <c r="BQ15" s="544">
        <f t="shared" si="33"/>
        <v>655.59153034041867</v>
      </c>
      <c r="BR15" s="544">
        <f t="shared" si="34"/>
        <v>1543.4426424040157</v>
      </c>
    </row>
    <row r="16" spans="2:70" x14ac:dyDescent="0.25">
      <c r="B16" s="486">
        <v>2027</v>
      </c>
      <c r="C16" s="479">
        <f>C15*(1+'Fayette County Statistics'!$L$5)</f>
        <v>4654.8041399624099</v>
      </c>
      <c r="D16" s="479">
        <f>D15*(1+'Fayette County Statistics'!$L$5)</f>
        <v>3972.7828692141193</v>
      </c>
      <c r="E16" s="479">
        <f>E15*(1+'Fayette County Statistics'!$L$5)</f>
        <v>2269.7837469926326</v>
      </c>
      <c r="F16" s="544">
        <f>F15*(1+'Fayette County Statistics'!$L$5)</f>
        <v>86.251782385720048</v>
      </c>
      <c r="G16" s="544">
        <f t="shared" si="91"/>
        <v>166.46594000443972</v>
      </c>
      <c r="H16" s="479">
        <f t="shared" si="0"/>
        <v>0</v>
      </c>
      <c r="I16" s="479">
        <f t="shared" si="1"/>
        <v>33.141487954000482</v>
      </c>
      <c r="J16" s="479">
        <f t="shared" si="2"/>
        <v>196.34026198672484</v>
      </c>
      <c r="K16" s="479">
        <f t="shared" si="82"/>
        <v>0</v>
      </c>
      <c r="L16" s="479">
        <f t="shared" si="83"/>
        <v>63.963071751220923</v>
      </c>
      <c r="M16" s="479">
        <f t="shared" si="84"/>
        <v>378.93670563437888</v>
      </c>
      <c r="N16" s="544">
        <f t="shared" si="3"/>
        <v>86.251782385720048</v>
      </c>
      <c r="O16" s="544">
        <f t="shared" si="4"/>
        <v>119.39327033972053</v>
      </c>
      <c r="P16" s="544">
        <f t="shared" si="5"/>
        <v>282.59204437244489</v>
      </c>
      <c r="Q16" s="544">
        <f t="shared" si="102"/>
        <v>166.46594000443972</v>
      </c>
      <c r="R16" s="544">
        <f t="shared" si="92"/>
        <v>230.42901175566064</v>
      </c>
      <c r="S16" s="544">
        <f t="shared" si="93"/>
        <v>545.40264563881863</v>
      </c>
      <c r="T16" s="479">
        <f>T15*(1+'Fayette County Statistics'!$L$5)</f>
        <v>14136.049172440889</v>
      </c>
      <c r="U16" s="479">
        <f>U15*(1+'Fayette County Statistics'!$L$5)</f>
        <v>10565.427973604174</v>
      </c>
      <c r="V16" s="479">
        <f>V15*(1+'Fayette County Statistics'!$L$5)</f>
        <v>6009.1198282789255</v>
      </c>
      <c r="W16" s="544">
        <f>W15*(1+'Fayette County Statistics'!$L$5)</f>
        <v>216.32831381804124</v>
      </c>
      <c r="X16" s="544">
        <f t="shared" si="94"/>
        <v>240.12442833802575</v>
      </c>
      <c r="Y16" s="479">
        <f t="shared" si="6"/>
        <v>0</v>
      </c>
      <c r="Z16" s="479">
        <f t="shared" si="7"/>
        <v>85.527374658024939</v>
      </c>
      <c r="AA16" s="479">
        <f t="shared" si="8"/>
        <v>496.04919547770749</v>
      </c>
      <c r="AB16" s="479">
        <f t="shared" si="85"/>
        <v>0</v>
      </c>
      <c r="AC16" s="479">
        <f t="shared" si="86"/>
        <v>94.935385870407657</v>
      </c>
      <c r="AD16" s="479">
        <f t="shared" si="87"/>
        <v>550.6146069802553</v>
      </c>
      <c r="AE16" s="544">
        <f t="shared" si="9"/>
        <v>216.32831381804124</v>
      </c>
      <c r="AF16" s="544">
        <f t="shared" si="10"/>
        <v>301.85568847606618</v>
      </c>
      <c r="AG16" s="544">
        <f t="shared" si="11"/>
        <v>712.37750929574872</v>
      </c>
      <c r="AH16" s="544">
        <f t="shared" si="95"/>
        <v>240.12442833802575</v>
      </c>
      <c r="AI16" s="544">
        <f t="shared" si="96"/>
        <v>335.05981420843341</v>
      </c>
      <c r="AJ16" s="544">
        <f t="shared" si="97"/>
        <v>790.73903531828103</v>
      </c>
      <c r="AK16" s="479">
        <f>AK15*(1+'Fayette County Statistics'!$L$5)</f>
        <v>15975.509722536117</v>
      </c>
      <c r="AL16" s="479">
        <f>AL15*(1+'Fayette County Statistics'!$L$5)</f>
        <v>12196.051094258926</v>
      </c>
      <c r="AM16" s="479">
        <f>AM15*(1+'Fayette County Statistics'!$L$5)</f>
        <v>7285.3706524289209</v>
      </c>
      <c r="AN16" s="544">
        <f>AN15*(1+'Fayette County Statistics'!$L$5)</f>
        <v>167.56352500586522</v>
      </c>
      <c r="AO16" s="544">
        <f t="shared" si="98"/>
        <v>65.349774752287416</v>
      </c>
      <c r="AP16" s="479">
        <f t="shared" si="12"/>
        <v>0</v>
      </c>
      <c r="AQ16" s="479">
        <f t="shared" si="13"/>
        <v>82.296909378208738</v>
      </c>
      <c r="AR16" s="479">
        <f t="shared" si="14"/>
        <v>408.30335657728392</v>
      </c>
      <c r="AS16" s="479">
        <f t="shared" si="88"/>
        <v>0</v>
      </c>
      <c r="AT16" s="479">
        <f t="shared" si="89"/>
        <v>32.095794657501401</v>
      </c>
      <c r="AU16" s="479">
        <f t="shared" si="90"/>
        <v>159.2383090651407</v>
      </c>
      <c r="AV16" s="544">
        <f t="shared" si="15"/>
        <v>167.56352500586522</v>
      </c>
      <c r="AW16" s="544">
        <f t="shared" si="16"/>
        <v>249.86043438407395</v>
      </c>
      <c r="AX16" s="544">
        <f t="shared" si="17"/>
        <v>575.86688158314917</v>
      </c>
      <c r="AY16" s="544">
        <f t="shared" si="99"/>
        <v>65.349774752287416</v>
      </c>
      <c r="AZ16" s="544">
        <f t="shared" si="100"/>
        <v>97.445569409788817</v>
      </c>
      <c r="BA16" s="544">
        <f t="shared" si="101"/>
        <v>224.58808381742813</v>
      </c>
      <c r="BB16" s="479">
        <f t="shared" si="18"/>
        <v>34766.363034939415</v>
      </c>
      <c r="BC16" s="479">
        <f t="shared" si="19"/>
        <v>26734.261937077219</v>
      </c>
      <c r="BD16" s="479">
        <f t="shared" si="20"/>
        <v>15564.274227700478</v>
      </c>
      <c r="BE16" s="544">
        <f t="shared" si="21"/>
        <v>470.14362120962653</v>
      </c>
      <c r="BF16" s="544">
        <f t="shared" si="22"/>
        <v>471.9401430947529</v>
      </c>
      <c r="BG16" s="479">
        <f t="shared" si="23"/>
        <v>0</v>
      </c>
      <c r="BH16" s="479">
        <f t="shared" si="24"/>
        <v>200.96577199023415</v>
      </c>
      <c r="BI16" s="479">
        <f t="shared" si="25"/>
        <v>1100.6928140417162</v>
      </c>
      <c r="BJ16" s="479">
        <f t="shared" si="26"/>
        <v>0</v>
      </c>
      <c r="BK16" s="479">
        <f t="shared" si="27"/>
        <v>190.99425227912997</v>
      </c>
      <c r="BL16" s="479">
        <f t="shared" si="28"/>
        <v>1088.7896216797749</v>
      </c>
      <c r="BM16" s="544">
        <f t="shared" si="29"/>
        <v>470.14362120962653</v>
      </c>
      <c r="BN16" s="544">
        <f t="shared" si="30"/>
        <v>671.10939319986062</v>
      </c>
      <c r="BO16" s="544">
        <f t="shared" si="31"/>
        <v>1570.8364352513427</v>
      </c>
      <c r="BP16" s="544">
        <f t="shared" si="32"/>
        <v>471.9401430947529</v>
      </c>
      <c r="BQ16" s="544">
        <f t="shared" si="33"/>
        <v>662.93439537388292</v>
      </c>
      <c r="BR16" s="544">
        <f t="shared" si="34"/>
        <v>1560.7297647745277</v>
      </c>
    </row>
    <row r="17" spans="2:70" x14ac:dyDescent="0.25">
      <c r="B17" s="486">
        <v>2028</v>
      </c>
      <c r="C17" s="479">
        <f>C16*(1+'Fayette County Statistics'!$L$5)</f>
        <v>4706.9396496130712</v>
      </c>
      <c r="D17" s="479">
        <f>D16*(1+'Fayette County Statistics'!$L$5)</f>
        <v>4017.2794910675934</v>
      </c>
      <c r="E17" s="479">
        <f>E16*(1+'Fayette County Statistics'!$L$5)</f>
        <v>2295.2061555168298</v>
      </c>
      <c r="F17" s="544">
        <f>F16*(1+'Fayette County Statistics'!$L$5)</f>
        <v>87.217833909639538</v>
      </c>
      <c r="G17" s="544">
        <f t="shared" si="91"/>
        <v>168.33041944560432</v>
      </c>
      <c r="H17" s="479">
        <f t="shared" si="0"/>
        <v>0</v>
      </c>
      <c r="I17" s="479">
        <f t="shared" si="1"/>
        <v>33.512684746198275</v>
      </c>
      <c r="J17" s="479">
        <f t="shared" si="2"/>
        <v>198.53934476568469</v>
      </c>
      <c r="K17" s="479">
        <f t="shared" si="82"/>
        <v>0</v>
      </c>
      <c r="L17" s="479">
        <f t="shared" si="83"/>
        <v>64.679481560162685</v>
      </c>
      <c r="M17" s="479">
        <f t="shared" si="84"/>
        <v>383.18093539777146</v>
      </c>
      <c r="N17" s="544">
        <f t="shared" si="3"/>
        <v>87.217833909639538</v>
      </c>
      <c r="O17" s="544">
        <f t="shared" si="4"/>
        <v>120.73051865583781</v>
      </c>
      <c r="P17" s="544">
        <f t="shared" si="5"/>
        <v>285.75717867532421</v>
      </c>
      <c r="Q17" s="544">
        <f t="shared" si="102"/>
        <v>168.33041944560432</v>
      </c>
      <c r="R17" s="544">
        <f t="shared" si="92"/>
        <v>233.00990100576701</v>
      </c>
      <c r="S17" s="544">
        <f t="shared" si="93"/>
        <v>551.51135484337578</v>
      </c>
      <c r="T17" s="479">
        <f>T16*(1+'Fayette County Statistics'!$L$5)</f>
        <v>14294.378095826689</v>
      </c>
      <c r="U17" s="479">
        <f>U16*(1+'Fayette County Statistics'!$L$5)</f>
        <v>10683.764633003479</v>
      </c>
      <c r="V17" s="479">
        <f>V16*(1+'Fayette County Statistics'!$L$5)</f>
        <v>6076.4241692090991</v>
      </c>
      <c r="W17" s="544">
        <f>W16*(1+'Fayette County Statistics'!$L$5)</f>
        <v>218.75127009152749</v>
      </c>
      <c r="X17" s="544">
        <f t="shared" si="94"/>
        <v>242.81390980159549</v>
      </c>
      <c r="Y17" s="479">
        <f t="shared" si="6"/>
        <v>0</v>
      </c>
      <c r="Z17" s="479">
        <f t="shared" si="7"/>
        <v>86.485312550319406</v>
      </c>
      <c r="AA17" s="479">
        <f t="shared" si="8"/>
        <v>501.6051279810759</v>
      </c>
      <c r="AB17" s="479">
        <f t="shared" si="85"/>
        <v>0</v>
      </c>
      <c r="AC17" s="479">
        <f t="shared" si="86"/>
        <v>95.99869693085455</v>
      </c>
      <c r="AD17" s="479">
        <f t="shared" si="87"/>
        <v>556.78169205899417</v>
      </c>
      <c r="AE17" s="544">
        <f t="shared" si="9"/>
        <v>218.75127009152749</v>
      </c>
      <c r="AF17" s="544">
        <f t="shared" si="10"/>
        <v>305.23658264184689</v>
      </c>
      <c r="AG17" s="544">
        <f t="shared" si="11"/>
        <v>720.35639807260338</v>
      </c>
      <c r="AH17" s="544">
        <f t="shared" si="95"/>
        <v>242.81390980159549</v>
      </c>
      <c r="AI17" s="544">
        <f t="shared" si="96"/>
        <v>338.81260673245004</v>
      </c>
      <c r="AJ17" s="544">
        <f t="shared" si="97"/>
        <v>799.59560186058968</v>
      </c>
      <c r="AK17" s="479">
        <f>AK16*(1+'Fayette County Statistics'!$L$5)</f>
        <v>16154.441277177262</v>
      </c>
      <c r="AL17" s="479">
        <f>AL16*(1+'Fayette County Statistics'!$L$5)</f>
        <v>12332.651329286178</v>
      </c>
      <c r="AM17" s="479">
        <f>AM16*(1+'Fayette County Statistics'!$L$5)</f>
        <v>7366.9694695944954</v>
      </c>
      <c r="AN17" s="544">
        <f>AN16*(1+'Fayette County Statistics'!$L$5)</f>
        <v>169.44029780067342</v>
      </c>
      <c r="AO17" s="544">
        <f t="shared" si="98"/>
        <v>66.081716142262621</v>
      </c>
      <c r="AP17" s="479">
        <f t="shared" si="12"/>
        <v>0</v>
      </c>
      <c r="AQ17" s="479">
        <f t="shared" si="13"/>
        <v>83.218664877279394</v>
      </c>
      <c r="AR17" s="479">
        <f t="shared" si="14"/>
        <v>412.87650357706389</v>
      </c>
      <c r="AS17" s="479">
        <f t="shared" si="88"/>
        <v>0</v>
      </c>
      <c r="AT17" s="479">
        <f t="shared" si="89"/>
        <v>32.455279302138948</v>
      </c>
      <c r="AU17" s="479">
        <f t="shared" si="90"/>
        <v>161.02183639505486</v>
      </c>
      <c r="AV17" s="544">
        <f t="shared" si="15"/>
        <v>169.44029780067342</v>
      </c>
      <c r="AW17" s="544">
        <f t="shared" si="16"/>
        <v>252.65896267795281</v>
      </c>
      <c r="AX17" s="544">
        <f t="shared" si="17"/>
        <v>582.31680137773731</v>
      </c>
      <c r="AY17" s="544">
        <f t="shared" si="99"/>
        <v>66.081716142262621</v>
      </c>
      <c r="AZ17" s="544">
        <f t="shared" si="100"/>
        <v>98.536995444401569</v>
      </c>
      <c r="BA17" s="544">
        <f t="shared" si="101"/>
        <v>227.10355253731748</v>
      </c>
      <c r="BB17" s="479">
        <f t="shared" si="18"/>
        <v>35155.759022617021</v>
      </c>
      <c r="BC17" s="479">
        <f t="shared" si="19"/>
        <v>27033.69545335725</v>
      </c>
      <c r="BD17" s="479">
        <f t="shared" si="20"/>
        <v>15738.599794320424</v>
      </c>
      <c r="BE17" s="544">
        <f t="shared" si="21"/>
        <v>475.40940180184043</v>
      </c>
      <c r="BF17" s="544">
        <f t="shared" si="22"/>
        <v>477.22604538946246</v>
      </c>
      <c r="BG17" s="479">
        <f t="shared" si="23"/>
        <v>0</v>
      </c>
      <c r="BH17" s="479">
        <f t="shared" si="24"/>
        <v>203.21666217379709</v>
      </c>
      <c r="BI17" s="479">
        <f t="shared" si="25"/>
        <v>1113.0209763238245</v>
      </c>
      <c r="BJ17" s="479">
        <f t="shared" si="26"/>
        <v>0</v>
      </c>
      <c r="BK17" s="479">
        <f t="shared" si="27"/>
        <v>193.1334577931562</v>
      </c>
      <c r="BL17" s="479">
        <f t="shared" si="28"/>
        <v>1100.9844638518205</v>
      </c>
      <c r="BM17" s="544">
        <f t="shared" si="29"/>
        <v>475.40940180184043</v>
      </c>
      <c r="BN17" s="544">
        <f t="shared" si="30"/>
        <v>678.62606397563752</v>
      </c>
      <c r="BO17" s="544">
        <f t="shared" si="31"/>
        <v>1588.4303781256649</v>
      </c>
      <c r="BP17" s="544">
        <f t="shared" si="32"/>
        <v>477.22604538946246</v>
      </c>
      <c r="BQ17" s="544">
        <f t="shared" si="33"/>
        <v>670.3595031826186</v>
      </c>
      <c r="BR17" s="544">
        <f t="shared" si="34"/>
        <v>1578.2105092412828</v>
      </c>
    </row>
    <row r="18" spans="2:70" x14ac:dyDescent="0.25">
      <c r="B18" s="486">
        <v>2029</v>
      </c>
      <c r="C18" s="479">
        <f>C17*(1+'Fayette County Statistics'!$L$5)</f>
        <v>4759.659096049214</v>
      </c>
      <c r="D18" s="479">
        <f>D17*(1+'Fayette County Statistics'!$L$5)</f>
        <v>4062.2744913680031</v>
      </c>
      <c r="E18" s="479">
        <f>E17*(1+'Fayette County Statistics'!$L$5)</f>
        <v>2320.91330431905</v>
      </c>
      <c r="F18" s="544">
        <f>F17*(1+'Fayette County Statistics'!$L$5)</f>
        <v>88.194705564123907</v>
      </c>
      <c r="G18" s="544">
        <f t="shared" si="91"/>
        <v>170.21578173875915</v>
      </c>
      <c r="H18" s="479">
        <f t="shared" si="0"/>
        <v>0</v>
      </c>
      <c r="I18" s="479">
        <f t="shared" si="1"/>
        <v>33.888039078296799</v>
      </c>
      <c r="J18" s="479">
        <f t="shared" si="2"/>
        <v>200.76305807645582</v>
      </c>
      <c r="K18" s="479">
        <f t="shared" si="82"/>
        <v>0</v>
      </c>
      <c r="L18" s="479">
        <f t="shared" si="83"/>
        <v>65.403915421112828</v>
      </c>
      <c r="M18" s="479">
        <f t="shared" si="84"/>
        <v>387.47270208755981</v>
      </c>
      <c r="N18" s="544">
        <f t="shared" si="3"/>
        <v>88.194705564123907</v>
      </c>
      <c r="O18" s="544">
        <f t="shared" si="4"/>
        <v>122.08274464242071</v>
      </c>
      <c r="P18" s="544">
        <f t="shared" si="5"/>
        <v>288.95776364057974</v>
      </c>
      <c r="Q18" s="544">
        <f t="shared" si="102"/>
        <v>170.21578173875915</v>
      </c>
      <c r="R18" s="544">
        <f t="shared" si="92"/>
        <v>235.61969715987198</v>
      </c>
      <c r="S18" s="544">
        <f t="shared" si="93"/>
        <v>557.68848382631893</v>
      </c>
      <c r="T18" s="479">
        <f>T17*(1+'Fayette County Statistics'!$L$5)</f>
        <v>14454.480361090033</v>
      </c>
      <c r="U18" s="479">
        <f>U17*(1+'Fayette County Statistics'!$L$5)</f>
        <v>10803.426706289734</v>
      </c>
      <c r="V18" s="479">
        <f>V17*(1+'Fayette County Statistics'!$L$5)</f>
        <v>6144.4823433856545</v>
      </c>
      <c r="W18" s="544">
        <f>W17*(1+'Fayette County Statistics'!$L$5)</f>
        <v>221.20136436188346</v>
      </c>
      <c r="X18" s="544">
        <f t="shared" si="94"/>
        <v>245.53351444169061</v>
      </c>
      <c r="Y18" s="479">
        <f t="shared" si="6"/>
        <v>0</v>
      </c>
      <c r="Z18" s="479">
        <f t="shared" si="7"/>
        <v>87.453979697535658</v>
      </c>
      <c r="AA18" s="479">
        <f t="shared" si="8"/>
        <v>507.22328896150538</v>
      </c>
      <c r="AB18" s="479">
        <f t="shared" si="85"/>
        <v>0</v>
      </c>
      <c r="AC18" s="479">
        <f t="shared" si="86"/>
        <v>97.073917464264582</v>
      </c>
      <c r="AD18" s="479">
        <f t="shared" si="87"/>
        <v>563.01785074727093</v>
      </c>
      <c r="AE18" s="544">
        <f t="shared" si="9"/>
        <v>221.20136436188346</v>
      </c>
      <c r="AF18" s="544">
        <f t="shared" si="10"/>
        <v>308.65534405941912</v>
      </c>
      <c r="AG18" s="544">
        <f t="shared" si="11"/>
        <v>728.42465332338884</v>
      </c>
      <c r="AH18" s="544">
        <f t="shared" si="95"/>
        <v>245.53351444169061</v>
      </c>
      <c r="AI18" s="544">
        <f t="shared" si="96"/>
        <v>342.6074319059552</v>
      </c>
      <c r="AJ18" s="544">
        <f t="shared" si="97"/>
        <v>808.55136518896154</v>
      </c>
      <c r="AK18" s="479">
        <f>AK17*(1+'Fayette County Statistics'!$L$5)</f>
        <v>16335.376930704913</v>
      </c>
      <c r="AL18" s="479">
        <f>AL17*(1+'Fayette County Statistics'!$L$5)</f>
        <v>12470.78153693041</v>
      </c>
      <c r="AM18" s="479">
        <f>AM17*(1+'Fayette County Statistics'!$L$5)</f>
        <v>7449.4822233709137</v>
      </c>
      <c r="AN18" s="544">
        <f>AN17*(1+'Fayette County Statistics'!$L$5)</f>
        <v>171.33809113753102</v>
      </c>
      <c r="AO18" s="544">
        <f t="shared" si="98"/>
        <v>66.821855543637085</v>
      </c>
      <c r="AP18" s="479">
        <f t="shared" si="12"/>
        <v>0</v>
      </c>
      <c r="AQ18" s="479">
        <f t="shared" si="13"/>
        <v>84.150744375227845</v>
      </c>
      <c r="AR18" s="479">
        <f t="shared" si="14"/>
        <v>417.50087149664455</v>
      </c>
      <c r="AS18" s="479">
        <f t="shared" si="88"/>
        <v>0</v>
      </c>
      <c r="AT18" s="479">
        <f t="shared" si="89"/>
        <v>32.818790306338855</v>
      </c>
      <c r="AU18" s="479">
        <f t="shared" si="90"/>
        <v>162.82533988369136</v>
      </c>
      <c r="AV18" s="544">
        <f t="shared" si="15"/>
        <v>171.33809113753102</v>
      </c>
      <c r="AW18" s="544">
        <f t="shared" si="16"/>
        <v>255.48883551275887</v>
      </c>
      <c r="AX18" s="544">
        <f t="shared" si="17"/>
        <v>588.83896263417557</v>
      </c>
      <c r="AY18" s="544">
        <f t="shared" si="99"/>
        <v>66.821855543637085</v>
      </c>
      <c r="AZ18" s="544">
        <f t="shared" si="100"/>
        <v>99.64064584997594</v>
      </c>
      <c r="BA18" s="544">
        <f t="shared" si="101"/>
        <v>229.64719542732843</v>
      </c>
      <c r="BB18" s="479">
        <f t="shared" si="18"/>
        <v>35549.51638784416</v>
      </c>
      <c r="BC18" s="479">
        <f t="shared" si="19"/>
        <v>27336.482734588149</v>
      </c>
      <c r="BD18" s="479">
        <f t="shared" si="20"/>
        <v>15914.87787107562</v>
      </c>
      <c r="BE18" s="544">
        <f t="shared" si="21"/>
        <v>480.73416106353841</v>
      </c>
      <c r="BF18" s="544">
        <f t="shared" si="22"/>
        <v>482.5711517240868</v>
      </c>
      <c r="BG18" s="479">
        <f t="shared" si="23"/>
        <v>0</v>
      </c>
      <c r="BH18" s="479">
        <f t="shared" si="24"/>
        <v>205.4927631510603</v>
      </c>
      <c r="BI18" s="479">
        <f t="shared" si="25"/>
        <v>1125.4872185346057</v>
      </c>
      <c r="BJ18" s="479">
        <f t="shared" si="26"/>
        <v>0</v>
      </c>
      <c r="BK18" s="479">
        <f t="shared" si="27"/>
        <v>195.29662319171626</v>
      </c>
      <c r="BL18" s="479">
        <f t="shared" si="28"/>
        <v>1113.315892718522</v>
      </c>
      <c r="BM18" s="544">
        <f t="shared" si="29"/>
        <v>480.73416106353841</v>
      </c>
      <c r="BN18" s="544">
        <f t="shared" si="30"/>
        <v>686.22692421459874</v>
      </c>
      <c r="BO18" s="544">
        <f t="shared" si="31"/>
        <v>1606.2213795981443</v>
      </c>
      <c r="BP18" s="544">
        <f t="shared" si="32"/>
        <v>482.5711517240868</v>
      </c>
      <c r="BQ18" s="544">
        <f t="shared" si="33"/>
        <v>677.86777491580312</v>
      </c>
      <c r="BR18" s="544">
        <f t="shared" si="34"/>
        <v>1595.8870444426088</v>
      </c>
    </row>
    <row r="19" spans="2:70" x14ac:dyDescent="0.25">
      <c r="B19" s="486">
        <v>2030</v>
      </c>
      <c r="C19" s="479">
        <f>C18*(1+'Fayette County Statistics'!$L$5)</f>
        <v>4812.9690195765088</v>
      </c>
      <c r="D19" s="479">
        <f>D18*(1+'Fayette County Statistics'!$L$5)</f>
        <v>4107.7734521363209</v>
      </c>
      <c r="E19" s="479">
        <f>E18*(1+'Fayette County Statistics'!$L$5)</f>
        <v>2346.9083825945991</v>
      </c>
      <c r="F19" s="544">
        <f>F18*(1+'Fayette County Statistics'!$L$5)</f>
        <v>89.182518538594778</v>
      </c>
      <c r="G19" s="544">
        <f t="shared" si="91"/>
        <v>172.12226077948793</v>
      </c>
      <c r="H19" s="479">
        <f t="shared" si="0"/>
        <v>0</v>
      </c>
      <c r="I19" s="479">
        <f t="shared" si="1"/>
        <v>34.267597516264232</v>
      </c>
      <c r="J19" s="479">
        <f t="shared" si="2"/>
        <v>203.01167779000752</v>
      </c>
      <c r="K19" s="479">
        <f t="shared" si="82"/>
        <v>0</v>
      </c>
      <c r="L19" s="479">
        <f t="shared" si="83"/>
        <v>66.136463206389976</v>
      </c>
      <c r="M19" s="479">
        <f t="shared" si="84"/>
        <v>391.81253813471454</v>
      </c>
      <c r="N19" s="544">
        <f t="shared" si="3"/>
        <v>89.182518538594778</v>
      </c>
      <c r="O19" s="544">
        <f t="shared" si="4"/>
        <v>123.45011605485901</v>
      </c>
      <c r="P19" s="544">
        <f t="shared" si="5"/>
        <v>292.19419632860229</v>
      </c>
      <c r="Q19" s="544">
        <f t="shared" si="102"/>
        <v>172.12226077948793</v>
      </c>
      <c r="R19" s="544">
        <f t="shared" si="92"/>
        <v>238.25872398587791</v>
      </c>
      <c r="S19" s="544">
        <f t="shared" si="93"/>
        <v>563.93479891420247</v>
      </c>
      <c r="T19" s="479">
        <f>T18*(1+'Fayette County Statistics'!$L$5)</f>
        <v>14616.375830308849</v>
      </c>
      <c r="U19" s="479">
        <f>U18*(1+'Fayette County Statistics'!$L$5)</f>
        <v>10924.429038583468</v>
      </c>
      <c r="V19" s="479">
        <f>V18*(1+'Fayette County Statistics'!$L$5)</f>
        <v>6213.3027940167922</v>
      </c>
      <c r="W19" s="544">
        <f>W18*(1+'Fayette County Statistics'!$L$5)</f>
        <v>223.67890058460443</v>
      </c>
      <c r="X19" s="544">
        <f t="shared" si="94"/>
        <v>248.28357964891089</v>
      </c>
      <c r="Y19" s="479">
        <f t="shared" si="6"/>
        <v>0</v>
      </c>
      <c r="Z19" s="479">
        <f t="shared" si="7"/>
        <v>88.433496271254739</v>
      </c>
      <c r="AA19" s="479">
        <f t="shared" si="8"/>
        <v>512.90437540070968</v>
      </c>
      <c r="AB19" s="479">
        <f t="shared" si="85"/>
        <v>0</v>
      </c>
      <c r="AC19" s="479">
        <f t="shared" si="86"/>
        <v>98.161180861092731</v>
      </c>
      <c r="AD19" s="479">
        <f t="shared" si="87"/>
        <v>569.32385669478776</v>
      </c>
      <c r="AE19" s="544">
        <f t="shared" si="9"/>
        <v>223.67890058460443</v>
      </c>
      <c r="AF19" s="544">
        <f t="shared" si="10"/>
        <v>312.11239685585917</v>
      </c>
      <c r="AG19" s="544">
        <f t="shared" si="11"/>
        <v>736.58327598531412</v>
      </c>
      <c r="AH19" s="544">
        <f t="shared" si="95"/>
        <v>248.28357964891089</v>
      </c>
      <c r="AI19" s="544">
        <f t="shared" si="96"/>
        <v>346.44476051000362</v>
      </c>
      <c r="AJ19" s="544">
        <f t="shared" si="97"/>
        <v>817.60743634369862</v>
      </c>
      <c r="AK19" s="479">
        <f>AK18*(1+'Fayette County Statistics'!$L$5)</f>
        <v>16518.339129759937</v>
      </c>
      <c r="AL19" s="479">
        <f>AL18*(1+'Fayette County Statistics'!$L$5)</f>
        <v>12610.458853444778</v>
      </c>
      <c r="AM19" s="479">
        <f>AM18*(1+'Fayette County Statistics'!$L$5)</f>
        <v>7532.9191501826444</v>
      </c>
      <c r="AN19" s="544">
        <f>AN18*(1+'Fayette County Statistics'!$L$5)</f>
        <v>173.25714045420082</v>
      </c>
      <c r="AO19" s="544">
        <f t="shared" si="98"/>
        <v>67.570284777138298</v>
      </c>
      <c r="AP19" s="479">
        <f t="shared" si="12"/>
        <v>0</v>
      </c>
      <c r="AQ19" s="479">
        <f t="shared" si="13"/>
        <v>85.093263504619273</v>
      </c>
      <c r="AR19" s="479">
        <f t="shared" si="14"/>
        <v>422.17703402907034</v>
      </c>
      <c r="AS19" s="479">
        <f t="shared" si="88"/>
        <v>0</v>
      </c>
      <c r="AT19" s="479">
        <f t="shared" si="89"/>
        <v>33.186372766801512</v>
      </c>
      <c r="AU19" s="479">
        <f t="shared" si="90"/>
        <v>164.6490432713374</v>
      </c>
      <c r="AV19" s="544">
        <f t="shared" si="15"/>
        <v>173.25714045420082</v>
      </c>
      <c r="AW19" s="544">
        <f t="shared" si="16"/>
        <v>258.3504039588201</v>
      </c>
      <c r="AX19" s="544">
        <f t="shared" si="17"/>
        <v>595.43417448327114</v>
      </c>
      <c r="AY19" s="544">
        <f t="shared" si="99"/>
        <v>67.570284777138298</v>
      </c>
      <c r="AZ19" s="544">
        <f t="shared" si="100"/>
        <v>100.75665754393981</v>
      </c>
      <c r="BA19" s="544">
        <f t="shared" si="101"/>
        <v>232.21932804847569</v>
      </c>
      <c r="BB19" s="479">
        <f t="shared" si="18"/>
        <v>35947.683979645299</v>
      </c>
      <c r="BC19" s="479">
        <f t="shared" si="19"/>
        <v>27642.661344164568</v>
      </c>
      <c r="BD19" s="479">
        <f t="shared" si="20"/>
        <v>16093.130326794037</v>
      </c>
      <c r="BE19" s="544">
        <f t="shared" si="21"/>
        <v>486.11855957739999</v>
      </c>
      <c r="BF19" s="544">
        <f t="shared" si="22"/>
        <v>487.97612520553713</v>
      </c>
      <c r="BG19" s="479">
        <f t="shared" si="23"/>
        <v>0</v>
      </c>
      <c r="BH19" s="479">
        <f t="shared" si="24"/>
        <v>207.79435729213824</v>
      </c>
      <c r="BI19" s="479">
        <f t="shared" si="25"/>
        <v>1138.0930872197875</v>
      </c>
      <c r="BJ19" s="479">
        <f t="shared" si="26"/>
        <v>0</v>
      </c>
      <c r="BK19" s="479">
        <f t="shared" si="27"/>
        <v>197.4840168342842</v>
      </c>
      <c r="BL19" s="479">
        <f t="shared" si="28"/>
        <v>1125.7854381008397</v>
      </c>
      <c r="BM19" s="544">
        <f t="shared" si="29"/>
        <v>486.11855957739999</v>
      </c>
      <c r="BN19" s="544">
        <f t="shared" si="30"/>
        <v>693.91291686953832</v>
      </c>
      <c r="BO19" s="544">
        <f t="shared" si="31"/>
        <v>1624.2116467971875</v>
      </c>
      <c r="BP19" s="544">
        <f t="shared" si="32"/>
        <v>487.97612520553713</v>
      </c>
      <c r="BQ19" s="544">
        <f t="shared" si="33"/>
        <v>685.46014203982133</v>
      </c>
      <c r="BR19" s="544">
        <f t="shared" si="34"/>
        <v>1613.761563306377</v>
      </c>
    </row>
    <row r="20" spans="2:70" x14ac:dyDescent="0.25">
      <c r="B20" s="486">
        <v>2031</v>
      </c>
      <c r="C20" s="479">
        <f>C19*(1+'Fayette County Statistics'!$L$5)</f>
        <v>4866.8760337544436</v>
      </c>
      <c r="D20" s="479">
        <f>D19*(1+'Fayette County Statistics'!$L$5)</f>
        <v>4153.7820179141954</v>
      </c>
      <c r="E20" s="479">
        <f>E19*(1+'Fayette County Statistics'!$L$5)</f>
        <v>2373.1946152589376</v>
      </c>
      <c r="F20" s="544">
        <f>F19*(1+'Fayette County Statistics'!$L$5)</f>
        <v>90.181395379839643</v>
      </c>
      <c r="G20" s="544">
        <f t="shared" si="91"/>
        <v>174.05009308309053</v>
      </c>
      <c r="H20" s="479">
        <f t="shared" si="0"/>
        <v>0</v>
      </c>
      <c r="I20" s="479">
        <f t="shared" si="1"/>
        <v>34.65140714762471</v>
      </c>
      <c r="J20" s="479">
        <f t="shared" si="2"/>
        <v>205.28548286716446</v>
      </c>
      <c r="K20" s="479">
        <f t="shared" si="82"/>
        <v>0</v>
      </c>
      <c r="L20" s="479">
        <f t="shared" si="83"/>
        <v>66.877215794915685</v>
      </c>
      <c r="M20" s="479">
        <f t="shared" si="84"/>
        <v>396.20098193362747</v>
      </c>
      <c r="N20" s="544">
        <f t="shared" si="3"/>
        <v>90.181395379839643</v>
      </c>
      <c r="O20" s="544">
        <f t="shared" si="4"/>
        <v>124.83280252746435</v>
      </c>
      <c r="P20" s="544">
        <f t="shared" si="5"/>
        <v>295.4668782470041</v>
      </c>
      <c r="Q20" s="544">
        <f t="shared" si="102"/>
        <v>174.05009308309053</v>
      </c>
      <c r="R20" s="544">
        <f t="shared" si="92"/>
        <v>240.92730887800622</v>
      </c>
      <c r="S20" s="544">
        <f t="shared" si="93"/>
        <v>570.251075016718</v>
      </c>
      <c r="T20" s="479">
        <f>T19*(1+'Fayette County Statistics'!$L$5)</f>
        <v>14780.084588023607</v>
      </c>
      <c r="U20" s="479">
        <f>U19*(1+'Fayette County Statistics'!$L$5)</f>
        <v>11046.78664127599</v>
      </c>
      <c r="V20" s="479">
        <f>V19*(1+'Fayette County Statistics'!$L$5)</f>
        <v>6282.8940588777359</v>
      </c>
      <c r="W20" s="544">
        <f>W19*(1+'Fayette County Statistics'!$L$5)</f>
        <v>226.18418611959842</v>
      </c>
      <c r="X20" s="544">
        <f t="shared" si="94"/>
        <v>251.06444659275422</v>
      </c>
      <c r="Y20" s="479">
        <f t="shared" si="6"/>
        <v>0</v>
      </c>
      <c r="Z20" s="479">
        <f t="shared" si="7"/>
        <v>89.423983789023595</v>
      </c>
      <c r="AA20" s="479">
        <f t="shared" si="8"/>
        <v>518.64909208685287</v>
      </c>
      <c r="AB20" s="479">
        <f t="shared" si="85"/>
        <v>0</v>
      </c>
      <c r="AC20" s="479">
        <f t="shared" si="86"/>
        <v>99.260622005816174</v>
      </c>
      <c r="AD20" s="479">
        <f t="shared" si="87"/>
        <v>575.7004922164067</v>
      </c>
      <c r="AE20" s="544">
        <f t="shared" si="9"/>
        <v>226.18418611959842</v>
      </c>
      <c r="AF20" s="544">
        <f t="shared" si="10"/>
        <v>315.60816990862202</v>
      </c>
      <c r="AG20" s="544">
        <f t="shared" si="11"/>
        <v>744.83327820645127</v>
      </c>
      <c r="AH20" s="544">
        <f t="shared" si="95"/>
        <v>251.06444659275422</v>
      </c>
      <c r="AI20" s="544">
        <f t="shared" si="96"/>
        <v>350.3250685985704</v>
      </c>
      <c r="AJ20" s="544">
        <f t="shared" si="97"/>
        <v>826.76493880916087</v>
      </c>
      <c r="AK20" s="479">
        <f>AK19*(1+'Fayette County Statistics'!$L$5)</f>
        <v>16703.350572393792</v>
      </c>
      <c r="AL20" s="479">
        <f>AL19*(1+'Fayette County Statistics'!$L$5)</f>
        <v>12751.700607014745</v>
      </c>
      <c r="AM20" s="479">
        <f>AM19*(1+'Fayette County Statistics'!$L$5)</f>
        <v>7617.2906011058558</v>
      </c>
      <c r="AN20" s="544">
        <f>AN19*(1+'Fayette County Statistics'!$L$5)</f>
        <v>175.19768382543467</v>
      </c>
      <c r="AO20" s="544">
        <f t="shared" si="98"/>
        <v>68.327096691919508</v>
      </c>
      <c r="AP20" s="479">
        <f t="shared" si="12"/>
        <v>0</v>
      </c>
      <c r="AQ20" s="479">
        <f t="shared" si="13"/>
        <v>86.046339193145883</v>
      </c>
      <c r="AR20" s="479">
        <f t="shared" si="14"/>
        <v>426.90557129295792</v>
      </c>
      <c r="AS20" s="479">
        <f t="shared" si="88"/>
        <v>0</v>
      </c>
      <c r="AT20" s="479">
        <f t="shared" si="89"/>
        <v>33.558072285326887</v>
      </c>
      <c r="AU20" s="479">
        <f t="shared" si="90"/>
        <v>166.49317280425353</v>
      </c>
      <c r="AV20" s="544">
        <f t="shared" si="15"/>
        <v>175.19768382543467</v>
      </c>
      <c r="AW20" s="544">
        <f t="shared" si="16"/>
        <v>261.24402301858055</v>
      </c>
      <c r="AX20" s="544">
        <f t="shared" si="17"/>
        <v>602.10325511839255</v>
      </c>
      <c r="AY20" s="544">
        <f t="shared" si="99"/>
        <v>68.327096691919508</v>
      </c>
      <c r="AZ20" s="544">
        <f t="shared" si="100"/>
        <v>101.88516897724639</v>
      </c>
      <c r="BA20" s="544">
        <f t="shared" si="101"/>
        <v>234.82026949617304</v>
      </c>
      <c r="BB20" s="479">
        <f t="shared" si="18"/>
        <v>36350.311194171838</v>
      </c>
      <c r="BC20" s="479">
        <f t="shared" si="19"/>
        <v>27952.26926620493</v>
      </c>
      <c r="BD20" s="479">
        <f t="shared" si="20"/>
        <v>16273.379275242529</v>
      </c>
      <c r="BE20" s="544">
        <f t="shared" si="21"/>
        <v>491.56326532487276</v>
      </c>
      <c r="BF20" s="544">
        <f t="shared" si="22"/>
        <v>493.44163636776426</v>
      </c>
      <c r="BG20" s="479">
        <f t="shared" si="23"/>
        <v>0</v>
      </c>
      <c r="BH20" s="479">
        <f t="shared" si="24"/>
        <v>210.12173012979417</v>
      </c>
      <c r="BI20" s="479">
        <f t="shared" si="25"/>
        <v>1150.8401462469751</v>
      </c>
      <c r="BJ20" s="479">
        <f t="shared" si="26"/>
        <v>0</v>
      </c>
      <c r="BK20" s="479">
        <f t="shared" si="27"/>
        <v>199.69591008605875</v>
      </c>
      <c r="BL20" s="479">
        <f t="shared" si="28"/>
        <v>1138.3946469542877</v>
      </c>
      <c r="BM20" s="544">
        <f t="shared" si="29"/>
        <v>491.56326532487276</v>
      </c>
      <c r="BN20" s="544">
        <f t="shared" si="30"/>
        <v>701.68499545466693</v>
      </c>
      <c r="BO20" s="544">
        <f t="shared" si="31"/>
        <v>1642.403411571848</v>
      </c>
      <c r="BP20" s="544">
        <f t="shared" si="32"/>
        <v>493.44163636776426</v>
      </c>
      <c r="BQ20" s="544">
        <f t="shared" si="33"/>
        <v>693.13754645382301</v>
      </c>
      <c r="BR20" s="544">
        <f t="shared" si="34"/>
        <v>1631.8362833220519</v>
      </c>
    </row>
    <row r="21" spans="2:70" x14ac:dyDescent="0.25">
      <c r="B21" s="486">
        <v>2032</v>
      </c>
      <c r="C21" s="479">
        <f>C20*(1+'Fayette County Statistics'!$L$5)</f>
        <v>4921.3868262167935</v>
      </c>
      <c r="D21" s="479">
        <f>D20*(1+'Fayette County Statistics'!$L$5)</f>
        <v>4200.3058964642087</v>
      </c>
      <c r="E21" s="479">
        <f>E20*(1+'Fayette County Statistics'!$L$5)</f>
        <v>2399.7752633477589</v>
      </c>
      <c r="F21" s="544">
        <f>F20*(1+'Fayette County Statistics'!$L$5)</f>
        <v>91.191460007214857</v>
      </c>
      <c r="G21" s="544">
        <f t="shared" si="91"/>
        <v>175.99951781392468</v>
      </c>
      <c r="H21" s="479">
        <f t="shared" si="0"/>
        <v>0</v>
      </c>
      <c r="I21" s="479">
        <f t="shared" si="1"/>
        <v>35.039515587299803</v>
      </c>
      <c r="J21" s="479">
        <f t="shared" si="2"/>
        <v>207.58475539321495</v>
      </c>
      <c r="K21" s="479">
        <f t="shared" si="82"/>
        <v>0</v>
      </c>
      <c r="L21" s="479">
        <f t="shared" si="83"/>
        <v>67.626265083488619</v>
      </c>
      <c r="M21" s="479">
        <f t="shared" si="84"/>
        <v>400.63857790890489</v>
      </c>
      <c r="N21" s="544">
        <f t="shared" si="3"/>
        <v>91.191460007214857</v>
      </c>
      <c r="O21" s="544">
        <f t="shared" si="4"/>
        <v>126.23097559451466</v>
      </c>
      <c r="P21" s="544">
        <f t="shared" si="5"/>
        <v>298.77621540042981</v>
      </c>
      <c r="Q21" s="544">
        <f t="shared" si="102"/>
        <v>175.99951781392468</v>
      </c>
      <c r="R21" s="544">
        <f t="shared" si="92"/>
        <v>243.6257828974133</v>
      </c>
      <c r="S21" s="544">
        <f t="shared" si="93"/>
        <v>576.63809572282958</v>
      </c>
      <c r="T21" s="479">
        <f>T20*(1+'Fayette County Statistics'!$L$5)</f>
        <v>14945.626943728977</v>
      </c>
      <c r="U21" s="479">
        <f>U20*(1+'Fayette County Statistics'!$L$5)</f>
        <v>11170.514693891688</v>
      </c>
      <c r="V21" s="479">
        <f>V20*(1+'Fayette County Statistics'!$L$5)</f>
        <v>6353.2647713699153</v>
      </c>
      <c r="W21" s="544">
        <f>W20*(1+'Fayette County Statistics'!$L$5)</f>
        <v>228.71753176931688</v>
      </c>
      <c r="X21" s="544">
        <f t="shared" si="94"/>
        <v>253.87646026394171</v>
      </c>
      <c r="Y21" s="479">
        <f t="shared" si="6"/>
        <v>0</v>
      </c>
      <c r="Z21" s="479">
        <f t="shared" si="7"/>
        <v>90.425565129430112</v>
      </c>
      <c r="AA21" s="479">
        <f t="shared" si="8"/>
        <v>524.45815170198387</v>
      </c>
      <c r="AB21" s="479">
        <f t="shared" si="85"/>
        <v>0</v>
      </c>
      <c r="AC21" s="479">
        <f t="shared" si="86"/>
        <v>100.37237729366743</v>
      </c>
      <c r="AD21" s="479">
        <f t="shared" si="87"/>
        <v>582.14854838920212</v>
      </c>
      <c r="AE21" s="544">
        <f t="shared" si="9"/>
        <v>228.71753176931688</v>
      </c>
      <c r="AF21" s="544">
        <f t="shared" si="10"/>
        <v>319.14309689874699</v>
      </c>
      <c r="AG21" s="544">
        <f t="shared" si="11"/>
        <v>753.17568347130077</v>
      </c>
      <c r="AH21" s="544">
        <f t="shared" si="95"/>
        <v>253.87646026394171</v>
      </c>
      <c r="AI21" s="544">
        <f t="shared" si="96"/>
        <v>354.24883755760914</v>
      </c>
      <c r="AJ21" s="544">
        <f t="shared" si="97"/>
        <v>836.0250086531438</v>
      </c>
      <c r="AK21" s="479">
        <f>AK20*(1+'Fayette County Statistics'!$L$5)</f>
        <v>16890.434210884421</v>
      </c>
      <c r="AL21" s="479">
        <f>AL20*(1+'Fayette County Statistics'!$L$5)</f>
        <v>12894.524319907792</v>
      </c>
      <c r="AM21" s="479">
        <f>AM20*(1+'Fayette County Statistics'!$L$5)</f>
        <v>7702.6070431525568</v>
      </c>
      <c r="AN21" s="544">
        <f>AN20*(1+'Fayette County Statistics'!$L$5)</f>
        <v>177.15996199250878</v>
      </c>
      <c r="AO21" s="544">
        <f t="shared" si="98"/>
        <v>69.092385177078413</v>
      </c>
      <c r="AP21" s="479">
        <f t="shared" si="12"/>
        <v>0</v>
      </c>
      <c r="AQ21" s="479">
        <f t="shared" si="13"/>
        <v>87.010089678132942</v>
      </c>
      <c r="AR21" s="479">
        <f t="shared" si="14"/>
        <v>431.68706990446435</v>
      </c>
      <c r="AS21" s="479">
        <f t="shared" si="88"/>
        <v>0</v>
      </c>
      <c r="AT21" s="479">
        <f t="shared" si="89"/>
        <v>33.933934974471839</v>
      </c>
      <c r="AU21" s="479">
        <f t="shared" si="90"/>
        <v>168.35795726274102</v>
      </c>
      <c r="AV21" s="544">
        <f t="shared" si="15"/>
        <v>177.15996199250878</v>
      </c>
      <c r="AW21" s="544">
        <f t="shared" si="16"/>
        <v>264.17005167064173</v>
      </c>
      <c r="AX21" s="544">
        <f t="shared" si="17"/>
        <v>608.84703189697314</v>
      </c>
      <c r="AY21" s="544">
        <f t="shared" si="99"/>
        <v>69.092385177078413</v>
      </c>
      <c r="AZ21" s="544">
        <f t="shared" si="100"/>
        <v>103.02632015155025</v>
      </c>
      <c r="BA21" s="544">
        <f t="shared" si="101"/>
        <v>237.45034243981945</v>
      </c>
      <c r="BB21" s="479">
        <f t="shared" si="18"/>
        <v>36757.447980830191</v>
      </c>
      <c r="BC21" s="479">
        <f t="shared" si="19"/>
        <v>28265.344910263688</v>
      </c>
      <c r="BD21" s="479">
        <f t="shared" si="20"/>
        <v>16455.647077870231</v>
      </c>
      <c r="BE21" s="544">
        <f t="shared" si="21"/>
        <v>497.06895376904049</v>
      </c>
      <c r="BF21" s="544">
        <f t="shared" si="22"/>
        <v>498.96836325494485</v>
      </c>
      <c r="BG21" s="479">
        <f t="shared" si="23"/>
        <v>0</v>
      </c>
      <c r="BH21" s="479">
        <f t="shared" si="24"/>
        <v>212.47517039486286</v>
      </c>
      <c r="BI21" s="479">
        <f t="shared" si="25"/>
        <v>1163.7299769996632</v>
      </c>
      <c r="BJ21" s="479">
        <f t="shared" si="26"/>
        <v>0</v>
      </c>
      <c r="BK21" s="479">
        <f t="shared" si="27"/>
        <v>201.93257735162788</v>
      </c>
      <c r="BL21" s="479">
        <f t="shared" si="28"/>
        <v>1151.145083560848</v>
      </c>
      <c r="BM21" s="544">
        <f t="shared" si="29"/>
        <v>497.06895376904049</v>
      </c>
      <c r="BN21" s="544">
        <f t="shared" si="30"/>
        <v>709.54412416390346</v>
      </c>
      <c r="BO21" s="544">
        <f t="shared" si="31"/>
        <v>1660.7989307687035</v>
      </c>
      <c r="BP21" s="544">
        <f t="shared" si="32"/>
        <v>498.96836325494485</v>
      </c>
      <c r="BQ21" s="544">
        <f t="shared" si="33"/>
        <v>700.9009406065727</v>
      </c>
      <c r="BR21" s="544">
        <f t="shared" si="34"/>
        <v>1650.1134468157929</v>
      </c>
    </row>
    <row r="22" spans="2:70" x14ac:dyDescent="0.25">
      <c r="B22" s="486">
        <v>2033</v>
      </c>
      <c r="C22" s="479">
        <f>C21*(1+'Fayette County Statistics'!$L$5)</f>
        <v>4976.5081595012771</v>
      </c>
      <c r="D22" s="479">
        <f>D21*(1+'Fayette County Statistics'!$L$5)</f>
        <v>4247.3508594779705</v>
      </c>
      <c r="E22" s="479">
        <f>E21*(1+'Fayette County Statistics'!$L$5)</f>
        <v>2426.6536244215495</v>
      </c>
      <c r="F22" s="544">
        <f>F21*(1+'Fayette County Statistics'!$L$5)</f>
        <v>92.212837728018897</v>
      </c>
      <c r="G22" s="544">
        <f t="shared" si="91"/>
        <v>177.97077681507648</v>
      </c>
      <c r="H22" s="479">
        <f t="shared" si="0"/>
        <v>0</v>
      </c>
      <c r="I22" s="479">
        <f t="shared" si="1"/>
        <v>35.431970983515654</v>
      </c>
      <c r="J22" s="479">
        <f t="shared" si="2"/>
        <v>209.90978061290565</v>
      </c>
      <c r="K22" s="479">
        <f t="shared" si="82"/>
        <v>0</v>
      </c>
      <c r="L22" s="479">
        <f t="shared" si="83"/>
        <v>68.38370399818524</v>
      </c>
      <c r="M22" s="479">
        <f t="shared" si="84"/>
        <v>405.12587658290789</v>
      </c>
      <c r="N22" s="544">
        <f t="shared" si="3"/>
        <v>92.212837728018897</v>
      </c>
      <c r="O22" s="544">
        <f t="shared" si="4"/>
        <v>127.64480871153455</v>
      </c>
      <c r="P22" s="544">
        <f t="shared" si="5"/>
        <v>302.12261834092453</v>
      </c>
      <c r="Q22" s="544">
        <f t="shared" si="102"/>
        <v>177.97077681507648</v>
      </c>
      <c r="R22" s="544">
        <f t="shared" si="92"/>
        <v>246.35448081326172</v>
      </c>
      <c r="S22" s="544">
        <f t="shared" si="93"/>
        <v>583.09665339798437</v>
      </c>
      <c r="T22" s="479">
        <f>T21*(1+'Fayette County Statistics'!$L$5)</f>
        <v>15113.023434393406</v>
      </c>
      <c r="U22" s="479">
        <f>U21*(1+'Fayette County Statistics'!$L$5)</f>
        <v>11295.628545971174</v>
      </c>
      <c r="V22" s="479">
        <f>V21*(1+'Fayette County Statistics'!$L$5)</f>
        <v>6424.4236615920154</v>
      </c>
      <c r="W22" s="544">
        <f>W21*(1+'Fayette County Statistics'!$L$5)</f>
        <v>231.27925181731248</v>
      </c>
      <c r="X22" s="544">
        <f t="shared" si="94"/>
        <v>256.71996951721684</v>
      </c>
      <c r="Y22" s="479">
        <f t="shared" si="6"/>
        <v>0</v>
      </c>
      <c r="Z22" s="479">
        <f t="shared" si="7"/>
        <v>91.438364547347163</v>
      </c>
      <c r="AA22" s="479">
        <f t="shared" si="8"/>
        <v>530.33227491045204</v>
      </c>
      <c r="AB22" s="479">
        <f t="shared" si="85"/>
        <v>0</v>
      </c>
      <c r="AC22" s="479">
        <f t="shared" si="86"/>
        <v>101.49658464755532</v>
      </c>
      <c r="AD22" s="479">
        <f t="shared" si="87"/>
        <v>588.66882515060161</v>
      </c>
      <c r="AE22" s="544">
        <f t="shared" si="9"/>
        <v>231.27925181731248</v>
      </c>
      <c r="AF22" s="544">
        <f t="shared" si="10"/>
        <v>322.71761636465965</v>
      </c>
      <c r="AG22" s="544">
        <f t="shared" si="11"/>
        <v>761.6115267277645</v>
      </c>
      <c r="AH22" s="544">
        <f t="shared" si="95"/>
        <v>256.71996951721684</v>
      </c>
      <c r="AI22" s="544">
        <f t="shared" si="96"/>
        <v>358.21655416477216</v>
      </c>
      <c r="AJ22" s="544">
        <f t="shared" si="97"/>
        <v>845.3887946678185</v>
      </c>
      <c r="AK22" s="479">
        <f>AK21*(1+'Fayette County Statistics'!$L$5)</f>
        <v>17079.613254583677</v>
      </c>
      <c r="AL22" s="479">
        <f>AL21*(1+'Fayette County Statistics'!$L$5)</f>
        <v>13038.947710647208</v>
      </c>
      <c r="AM22" s="479">
        <f>AM21*(1+'Fayette County Statistics'!$L$5)</f>
        <v>7788.8790605691211</v>
      </c>
      <c r="AN22" s="544">
        <f>AN21*(1+'Fayette County Statistics'!$L$5)</f>
        <v>179.14421839308974</v>
      </c>
      <c r="AO22" s="544">
        <f t="shared" si="98"/>
        <v>69.866245173304989</v>
      </c>
      <c r="AP22" s="479">
        <f t="shared" si="12"/>
        <v>0</v>
      </c>
      <c r="AQ22" s="479">
        <f t="shared" si="13"/>
        <v>87.9846345212068</v>
      </c>
      <c r="AR22" s="479">
        <f t="shared" si="14"/>
        <v>436.52212305006265</v>
      </c>
      <c r="AS22" s="479">
        <f t="shared" si="88"/>
        <v>0</v>
      </c>
      <c r="AT22" s="479">
        <f t="shared" si="89"/>
        <v>34.314007463270642</v>
      </c>
      <c r="AU22" s="479">
        <f t="shared" si="90"/>
        <v>170.24362798952438</v>
      </c>
      <c r="AV22" s="544">
        <f t="shared" si="15"/>
        <v>179.14421839308974</v>
      </c>
      <c r="AW22" s="544">
        <f t="shared" si="16"/>
        <v>267.12885291429654</v>
      </c>
      <c r="AX22" s="544">
        <f t="shared" si="17"/>
        <v>615.66634144315242</v>
      </c>
      <c r="AY22" s="544">
        <f t="shared" si="99"/>
        <v>69.866245173304989</v>
      </c>
      <c r="AZ22" s="544">
        <f t="shared" si="100"/>
        <v>104.18025263657563</v>
      </c>
      <c r="BA22" s="544">
        <f t="shared" si="101"/>
        <v>240.10987316282939</v>
      </c>
      <c r="BB22" s="479">
        <f t="shared" si="18"/>
        <v>37169.144848478361</v>
      </c>
      <c r="BC22" s="479">
        <f t="shared" si="19"/>
        <v>28581.927116096354</v>
      </c>
      <c r="BD22" s="479">
        <f t="shared" si="20"/>
        <v>16639.956346582687</v>
      </c>
      <c r="BE22" s="544">
        <f t="shared" si="21"/>
        <v>502.63630793842117</v>
      </c>
      <c r="BF22" s="544">
        <f t="shared" si="22"/>
        <v>504.55699150559832</v>
      </c>
      <c r="BG22" s="479">
        <f t="shared" si="23"/>
        <v>0</v>
      </c>
      <c r="BH22" s="479">
        <f t="shared" si="24"/>
        <v>214.85497005206963</v>
      </c>
      <c r="BI22" s="479">
        <f t="shared" si="25"/>
        <v>1176.7641785734204</v>
      </c>
      <c r="BJ22" s="479">
        <f t="shared" si="26"/>
        <v>0</v>
      </c>
      <c r="BK22" s="479">
        <f t="shared" si="27"/>
        <v>204.19429610901119</v>
      </c>
      <c r="BL22" s="479">
        <f t="shared" si="28"/>
        <v>1164.0383297230339</v>
      </c>
      <c r="BM22" s="544">
        <f t="shared" si="29"/>
        <v>502.63630793842117</v>
      </c>
      <c r="BN22" s="544">
        <f t="shared" si="30"/>
        <v>717.49127799049074</v>
      </c>
      <c r="BO22" s="544">
        <f t="shared" si="31"/>
        <v>1679.4004865118413</v>
      </c>
      <c r="BP22" s="544">
        <f t="shared" si="32"/>
        <v>504.55699150559832</v>
      </c>
      <c r="BQ22" s="544">
        <f t="shared" si="33"/>
        <v>708.75128761460951</v>
      </c>
      <c r="BR22" s="544">
        <f t="shared" si="34"/>
        <v>1668.5953212286322</v>
      </c>
    </row>
    <row r="23" spans="2:70" x14ac:dyDescent="0.25">
      <c r="B23" s="486">
        <v>2034</v>
      </c>
      <c r="C23" s="479">
        <f>C22*(1+'Fayette County Statistics'!$L$5)</f>
        <v>5032.2468718885111</v>
      </c>
      <c r="D23" s="479">
        <f>D22*(1+'Fayette County Statistics'!$L$5)</f>
        <v>4294.9227432921507</v>
      </c>
      <c r="E23" s="479">
        <f>E22*(1+'Fayette County Statistics'!$L$5)</f>
        <v>2453.83303297468</v>
      </c>
      <c r="F23" s="544">
        <f>F22*(1+'Fayette County Statistics'!$L$5)</f>
        <v>93.245655253037853</v>
      </c>
      <c r="G23" s="544">
        <f t="shared" si="91"/>
        <v>179.96411463836307</v>
      </c>
      <c r="H23" s="479">
        <f t="shared" si="0"/>
        <v>0</v>
      </c>
      <c r="I23" s="479">
        <f t="shared" si="1"/>
        <v>35.828822023776183</v>
      </c>
      <c r="J23" s="479">
        <f t="shared" si="2"/>
        <v>212.26084696582859</v>
      </c>
      <c r="K23" s="479">
        <f t="shared" si="82"/>
        <v>0</v>
      </c>
      <c r="L23" s="479">
        <f t="shared" si="83"/>
        <v>69.149626505888051</v>
      </c>
      <c r="M23" s="479">
        <f t="shared" si="84"/>
        <v>409.66343464404918</v>
      </c>
      <c r="N23" s="544">
        <f t="shared" si="3"/>
        <v>93.245655253037853</v>
      </c>
      <c r="O23" s="544">
        <f t="shared" si="4"/>
        <v>129.07447727681404</v>
      </c>
      <c r="P23" s="544">
        <f t="shared" si="5"/>
        <v>305.50650221886644</v>
      </c>
      <c r="Q23" s="544">
        <f t="shared" si="102"/>
        <v>179.96411463836307</v>
      </c>
      <c r="R23" s="544">
        <f t="shared" si="92"/>
        <v>249.11374114425112</v>
      </c>
      <c r="S23" s="544">
        <f t="shared" si="93"/>
        <v>589.62754928241225</v>
      </c>
      <c r="T23" s="479">
        <f>T22*(1+'Fayette County Statistics'!$L$5)</f>
        <v>15282.294827006899</v>
      </c>
      <c r="U23" s="479">
        <f>U22*(1+'Fayette County Statistics'!$L$5)</f>
        <v>11422.143718975536</v>
      </c>
      <c r="V23" s="479">
        <f>V22*(1+'Fayette County Statistics'!$L$5)</f>
        <v>6496.3795574230207</v>
      </c>
      <c r="W23" s="544">
        <f>W22*(1+'Fayette County Statistics'!$L$5)</f>
        <v>233.86966406722865</v>
      </c>
      <c r="X23" s="544">
        <f t="shared" si="94"/>
        <v>259.59532711462379</v>
      </c>
      <c r="Y23" s="479">
        <f t="shared" si="6"/>
        <v>0</v>
      </c>
      <c r="Z23" s="479">
        <f t="shared" si="7"/>
        <v>92.462507689347831</v>
      </c>
      <c r="AA23" s="479">
        <f t="shared" si="8"/>
        <v>536.27219044831054</v>
      </c>
      <c r="AB23" s="479">
        <f t="shared" si="85"/>
        <v>0</v>
      </c>
      <c r="AC23" s="479">
        <f t="shared" si="86"/>
        <v>102.63338353517605</v>
      </c>
      <c r="AD23" s="479">
        <f t="shared" si="87"/>
        <v>595.26213139762467</v>
      </c>
      <c r="AE23" s="544">
        <f t="shared" si="9"/>
        <v>233.86966406722865</v>
      </c>
      <c r="AF23" s="544">
        <f t="shared" si="10"/>
        <v>326.33217175657649</v>
      </c>
      <c r="AG23" s="544">
        <f t="shared" si="11"/>
        <v>770.14185451553919</v>
      </c>
      <c r="AH23" s="544">
        <f t="shared" si="95"/>
        <v>259.59532711462379</v>
      </c>
      <c r="AI23" s="544">
        <f t="shared" si="96"/>
        <v>362.22871064979984</v>
      </c>
      <c r="AJ23" s="544">
        <f t="shared" si="97"/>
        <v>854.8574585122484</v>
      </c>
      <c r="AK23" s="479">
        <f>AK22*(1+'Fayette County Statistics'!$L$5)</f>
        <v>17270.911172796645</v>
      </c>
      <c r="AL23" s="479">
        <f>AL22*(1+'Fayette County Statistics'!$L$5)</f>
        <v>13184.988696210223</v>
      </c>
      <c r="AM23" s="479">
        <f>AM22*(1+'Fayette County Statistics'!$L$5)</f>
        <v>7876.1173561493542</v>
      </c>
      <c r="AN23" s="544">
        <f>AN22*(1+'Fayette County Statistics'!$L$5)</f>
        <v>181.15069919143511</v>
      </c>
      <c r="AO23" s="544">
        <f t="shared" si="98"/>
        <v>70.648772684659676</v>
      </c>
      <c r="AP23" s="479">
        <f t="shared" si="12"/>
        <v>0</v>
      </c>
      <c r="AQ23" s="479">
        <f t="shared" si="13"/>
        <v>88.970094623127892</v>
      </c>
      <c r="AR23" s="479">
        <f t="shared" si="14"/>
        <v>441.41133056013155</v>
      </c>
      <c r="AS23" s="479">
        <f t="shared" si="88"/>
        <v>0</v>
      </c>
      <c r="AT23" s="479">
        <f t="shared" si="89"/>
        <v>34.698336903019865</v>
      </c>
      <c r="AU23" s="479">
        <f t="shared" si="90"/>
        <v>172.15041891845129</v>
      </c>
      <c r="AV23" s="544">
        <f t="shared" si="15"/>
        <v>181.15069919143511</v>
      </c>
      <c r="AW23" s="544">
        <f t="shared" si="16"/>
        <v>270.120793814563</v>
      </c>
      <c r="AX23" s="544">
        <f t="shared" si="17"/>
        <v>622.56202975156668</v>
      </c>
      <c r="AY23" s="544">
        <f t="shared" si="99"/>
        <v>70.648772684659676</v>
      </c>
      <c r="AZ23" s="544">
        <f t="shared" si="100"/>
        <v>105.34710958767954</v>
      </c>
      <c r="BA23" s="544">
        <f t="shared" si="101"/>
        <v>242.79919160311096</v>
      </c>
      <c r="BB23" s="479">
        <f t="shared" si="18"/>
        <v>37585.452871692054</v>
      </c>
      <c r="BC23" s="479">
        <f t="shared" si="19"/>
        <v>28902.05515847791</v>
      </c>
      <c r="BD23" s="479">
        <f t="shared" si="20"/>
        <v>16826.329946547055</v>
      </c>
      <c r="BE23" s="544">
        <f t="shared" si="21"/>
        <v>508.26601851170165</v>
      </c>
      <c r="BF23" s="544">
        <f t="shared" si="22"/>
        <v>510.20821443764652</v>
      </c>
      <c r="BG23" s="479">
        <f t="shared" si="23"/>
        <v>0</v>
      </c>
      <c r="BH23" s="479">
        <f t="shared" si="24"/>
        <v>217.26142433625191</v>
      </c>
      <c r="BI23" s="479">
        <f t="shared" si="25"/>
        <v>1189.9443679742708</v>
      </c>
      <c r="BJ23" s="479">
        <f t="shared" si="26"/>
        <v>0</v>
      </c>
      <c r="BK23" s="479">
        <f t="shared" si="27"/>
        <v>206.48134694408395</v>
      </c>
      <c r="BL23" s="479">
        <f t="shared" si="28"/>
        <v>1177.0759849601252</v>
      </c>
      <c r="BM23" s="544">
        <f t="shared" si="29"/>
        <v>508.26601851170165</v>
      </c>
      <c r="BN23" s="544">
        <f t="shared" si="30"/>
        <v>725.52744284795358</v>
      </c>
      <c r="BO23" s="544">
        <f t="shared" si="31"/>
        <v>1698.2103864859723</v>
      </c>
      <c r="BP23" s="544">
        <f t="shared" si="32"/>
        <v>510.20821443764652</v>
      </c>
      <c r="BQ23" s="544">
        <f t="shared" si="33"/>
        <v>716.68956138173053</v>
      </c>
      <c r="BR23" s="544">
        <f t="shared" si="34"/>
        <v>1687.2841993977718</v>
      </c>
    </row>
    <row r="24" spans="2:70" x14ac:dyDescent="0.25">
      <c r="B24" s="486">
        <v>2035</v>
      </c>
      <c r="C24" s="479">
        <f>C23*(1+'Fayette County Statistics'!$L$5)</f>
        <v>5088.6098782503577</v>
      </c>
      <c r="D24" s="479">
        <f>D23*(1+'Fayette County Statistics'!$L$5)</f>
        <v>4343.0274496125248</v>
      </c>
      <c r="E24" s="479">
        <f>E23*(1+'Fayette County Statistics'!$L$5)</f>
        <v>2481.3168608490782</v>
      </c>
      <c r="F24" s="544">
        <f>F23*(1+'Fayette County Statistics'!$L$5)</f>
        <v>94.290040712264982</v>
      </c>
      <c r="G24" s="544">
        <f t="shared" si="91"/>
        <v>181.97977857467143</v>
      </c>
      <c r="H24" s="479">
        <f t="shared" si="0"/>
        <v>0</v>
      </c>
      <c r="I24" s="479">
        <f t="shared" si="1"/>
        <v>36.230117940903085</v>
      </c>
      <c r="J24" s="479">
        <f t="shared" si="2"/>
        <v>214.63824612220512</v>
      </c>
      <c r="K24" s="479">
        <f t="shared" si="82"/>
        <v>0</v>
      </c>
      <c r="L24" s="479">
        <f t="shared" si="83"/>
        <v>69.924127625942958</v>
      </c>
      <c r="M24" s="479">
        <f t="shared" si="84"/>
        <v>414.25181501585598</v>
      </c>
      <c r="N24" s="544">
        <f t="shared" si="3"/>
        <v>94.290040712264982</v>
      </c>
      <c r="O24" s="544">
        <f t="shared" si="4"/>
        <v>130.52015865316807</v>
      </c>
      <c r="P24" s="544">
        <f t="shared" si="5"/>
        <v>308.9282868344701</v>
      </c>
      <c r="Q24" s="544">
        <f t="shared" si="102"/>
        <v>181.97977857467143</v>
      </c>
      <c r="R24" s="544">
        <f t="shared" si="92"/>
        <v>251.90390620061439</v>
      </c>
      <c r="S24" s="544">
        <f t="shared" si="93"/>
        <v>596.23159359052738</v>
      </c>
      <c r="T24" s="479">
        <f>T23*(1+'Fayette County Statistics'!$L$5)</f>
        <v>15453.462121157347</v>
      </c>
      <c r="U24" s="479">
        <f>U23*(1+'Fayette County Statistics'!$L$5)</f>
        <v>11550.075908211902</v>
      </c>
      <c r="V24" s="479">
        <f>V23*(1+'Fayette County Statistics'!$L$5)</f>
        <v>6569.1413856173904</v>
      </c>
      <c r="W24" s="544">
        <f>W23*(1+'Fayette County Statistics'!$L$5)</f>
        <v>236.48908988222595</v>
      </c>
      <c r="X24" s="544">
        <f t="shared" si="94"/>
        <v>262.50288976927078</v>
      </c>
      <c r="Y24" s="479">
        <f t="shared" si="6"/>
        <v>0</v>
      </c>
      <c r="Z24" s="479">
        <f t="shared" si="7"/>
        <v>93.498121609292838</v>
      </c>
      <c r="AA24" s="479">
        <f t="shared" si="8"/>
        <v>542.27863521372342</v>
      </c>
      <c r="AB24" s="479">
        <f t="shared" si="85"/>
        <v>0</v>
      </c>
      <c r="AC24" s="479">
        <f t="shared" si="86"/>
        <v>103.78291498631506</v>
      </c>
      <c r="AD24" s="479">
        <f t="shared" si="87"/>
        <v>601.92928508723298</v>
      </c>
      <c r="AE24" s="544">
        <f t="shared" si="9"/>
        <v>236.48908988222595</v>
      </c>
      <c r="AF24" s="544">
        <f t="shared" si="10"/>
        <v>329.98721149151879</v>
      </c>
      <c r="AG24" s="544">
        <f t="shared" si="11"/>
        <v>778.76772509594934</v>
      </c>
      <c r="AH24" s="544">
        <f t="shared" si="95"/>
        <v>262.50288976927078</v>
      </c>
      <c r="AI24" s="544">
        <f t="shared" si="96"/>
        <v>366.28580475558584</v>
      </c>
      <c r="AJ24" s="544">
        <f t="shared" si="97"/>
        <v>864.43217485650371</v>
      </c>
      <c r="AK24" s="479">
        <f>AK23*(1+'Fayette County Statistics'!$L$5)</f>
        <v>17464.351697693215</v>
      </c>
      <c r="AL24" s="479">
        <f>AL23*(1+'Fayette County Statistics'!$L$5)</f>
        <v>13332.665394250771</v>
      </c>
      <c r="AM24" s="479">
        <f>AM23*(1+'Fayette County Statistics'!$L$5)</f>
        <v>7964.3327525622699</v>
      </c>
      <c r="AN24" s="544">
        <f>AN23*(1+'Fayette County Statistics'!$L$5)</f>
        <v>183.17965330893216</v>
      </c>
      <c r="AO24" s="544">
        <f t="shared" si="98"/>
        <v>71.440064790483518</v>
      </c>
      <c r="AP24" s="479">
        <f t="shared" si="12"/>
        <v>0</v>
      </c>
      <c r="AQ24" s="479">
        <f t="shared" si="13"/>
        <v>89.966592238789502</v>
      </c>
      <c r="AR24" s="479">
        <f t="shared" si="14"/>
        <v>446.35529898336893</v>
      </c>
      <c r="AS24" s="479">
        <f t="shared" si="88"/>
        <v>0</v>
      </c>
      <c r="AT24" s="479">
        <f t="shared" si="89"/>
        <v>35.086970973127904</v>
      </c>
      <c r="AU24" s="479">
        <f t="shared" si="90"/>
        <v>174.07856660351385</v>
      </c>
      <c r="AV24" s="544">
        <f t="shared" si="15"/>
        <v>183.17965330893216</v>
      </c>
      <c r="AW24" s="544">
        <f t="shared" si="16"/>
        <v>273.14624554772166</v>
      </c>
      <c r="AX24" s="544">
        <f t="shared" si="17"/>
        <v>629.53495229230111</v>
      </c>
      <c r="AY24" s="544">
        <f t="shared" si="99"/>
        <v>71.440064790483518</v>
      </c>
      <c r="AZ24" s="544">
        <f t="shared" si="100"/>
        <v>106.52703576361142</v>
      </c>
      <c r="BA24" s="544">
        <f t="shared" si="101"/>
        <v>245.51863139399737</v>
      </c>
      <c r="BB24" s="479">
        <f t="shared" si="18"/>
        <v>38006.423697100923</v>
      </c>
      <c r="BC24" s="479">
        <f t="shared" si="19"/>
        <v>29225.768752075201</v>
      </c>
      <c r="BD24" s="479">
        <f t="shared" si="20"/>
        <v>17014.790999028737</v>
      </c>
      <c r="BE24" s="544">
        <f t="shared" si="21"/>
        <v>513.95878390342307</v>
      </c>
      <c r="BF24" s="544">
        <f t="shared" si="22"/>
        <v>515.9227331344257</v>
      </c>
      <c r="BG24" s="479">
        <f t="shared" si="23"/>
        <v>0</v>
      </c>
      <c r="BH24" s="479">
        <f t="shared" si="24"/>
        <v>219.69483178898543</v>
      </c>
      <c r="BI24" s="479">
        <f t="shared" si="25"/>
        <v>1203.2721803192976</v>
      </c>
      <c r="BJ24" s="479">
        <f t="shared" si="26"/>
        <v>0</v>
      </c>
      <c r="BK24" s="479">
        <f t="shared" si="27"/>
        <v>208.79401358538593</v>
      </c>
      <c r="BL24" s="479">
        <f t="shared" si="28"/>
        <v>1190.2596667066027</v>
      </c>
      <c r="BM24" s="544">
        <f t="shared" si="29"/>
        <v>513.95878390342307</v>
      </c>
      <c r="BN24" s="544">
        <f t="shared" si="30"/>
        <v>733.65361569240849</v>
      </c>
      <c r="BO24" s="544">
        <f t="shared" si="31"/>
        <v>1717.2309642227206</v>
      </c>
      <c r="BP24" s="544">
        <f t="shared" si="32"/>
        <v>515.9227331344257</v>
      </c>
      <c r="BQ24" s="544">
        <f t="shared" si="33"/>
        <v>724.71674671981168</v>
      </c>
      <c r="BR24" s="544">
        <f t="shared" si="34"/>
        <v>1706.1823998410284</v>
      </c>
    </row>
    <row r="25" spans="2:70" x14ac:dyDescent="0.25">
      <c r="B25" s="486">
        <v>2036</v>
      </c>
      <c r="C25" s="479">
        <f>C24*(1+'Fayette County Statistics'!$L$5)</f>
        <v>5145.6041709077745</v>
      </c>
      <c r="D25" s="479">
        <f>D24*(1+'Fayette County Statistics'!$L$5)</f>
        <v>4391.6709462461313</v>
      </c>
      <c r="E25" s="479">
        <f>E24*(1+'Fayette County Statistics'!$L$5)</f>
        <v>2509.1085176525353</v>
      </c>
      <c r="F25" s="544">
        <f>F24*(1+'Fayette County Statistics'!$L$5)</f>
        <v>95.346123670796345</v>
      </c>
      <c r="G25" s="544">
        <f t="shared" si="91"/>
        <v>184.01801868463696</v>
      </c>
      <c r="H25" s="479">
        <f t="shared" si="0"/>
        <v>0</v>
      </c>
      <c r="I25" s="479">
        <f t="shared" si="1"/>
        <v>36.635908519143783</v>
      </c>
      <c r="J25" s="479">
        <f t="shared" si="2"/>
        <v>217.04227301906943</v>
      </c>
      <c r="K25" s="479">
        <f t="shared" si="82"/>
        <v>0</v>
      </c>
      <c r="L25" s="479">
        <f t="shared" si="83"/>
        <v>70.707303441947516</v>
      </c>
      <c r="M25" s="479">
        <f t="shared" si="84"/>
        <v>418.891586926804</v>
      </c>
      <c r="N25" s="544">
        <f t="shared" si="3"/>
        <v>95.346123670796345</v>
      </c>
      <c r="O25" s="544">
        <f t="shared" si="4"/>
        <v>131.98203218994013</v>
      </c>
      <c r="P25" s="544">
        <f t="shared" si="5"/>
        <v>312.38839668986577</v>
      </c>
      <c r="Q25" s="544">
        <f t="shared" si="102"/>
        <v>184.01801868463696</v>
      </c>
      <c r="R25" s="544">
        <f t="shared" si="92"/>
        <v>254.72532212658447</v>
      </c>
      <c r="S25" s="544">
        <f t="shared" si="93"/>
        <v>602.90960561144095</v>
      </c>
      <c r="T25" s="479">
        <f>T24*(1+'Fayette County Statistics'!$L$5)</f>
        <v>15626.546551635711</v>
      </c>
      <c r="U25" s="479">
        <f>U24*(1+'Fayette County Statistics'!$L$5)</f>
        <v>11679.440984780584</v>
      </c>
      <c r="V25" s="479">
        <f>V24*(1+'Fayette County Statistics'!$L$5)</f>
        <v>6642.7181729125004</v>
      </c>
      <c r="W25" s="544">
        <f>W24*(1+'Fayette County Statistics'!$L$5)</f>
        <v>239.13785422484992</v>
      </c>
      <c r="X25" s="544">
        <f t="shared" si="94"/>
        <v>265.44301818958337</v>
      </c>
      <c r="Y25" s="479">
        <f t="shared" si="6"/>
        <v>0</v>
      </c>
      <c r="Z25" s="479">
        <f t="shared" si="7"/>
        <v>94.545334784092319</v>
      </c>
      <c r="AA25" s="479">
        <f t="shared" si="8"/>
        <v>548.35235435838342</v>
      </c>
      <c r="AB25" s="479">
        <f t="shared" si="85"/>
        <v>0</v>
      </c>
      <c r="AC25" s="479">
        <f t="shared" si="86"/>
        <v>104.94532161034249</v>
      </c>
      <c r="AD25" s="479">
        <f t="shared" si="87"/>
        <v>608.67111333780554</v>
      </c>
      <c r="AE25" s="544">
        <f t="shared" si="9"/>
        <v>239.13785422484992</v>
      </c>
      <c r="AF25" s="544">
        <f t="shared" si="10"/>
        <v>333.68318900894224</v>
      </c>
      <c r="AG25" s="544">
        <f t="shared" si="11"/>
        <v>787.49020858323331</v>
      </c>
      <c r="AH25" s="544">
        <f t="shared" si="95"/>
        <v>265.44301818958337</v>
      </c>
      <c r="AI25" s="544">
        <f t="shared" si="96"/>
        <v>370.38833979992586</v>
      </c>
      <c r="AJ25" s="544">
        <f t="shared" si="97"/>
        <v>874.11413152738885</v>
      </c>
      <c r="AK25" s="479">
        <f>AK24*(1+'Fayette County Statistics'!$L$5)</f>
        <v>17659.958827252263</v>
      </c>
      <c r="AL25" s="479">
        <f>AL24*(1+'Fayette County Statistics'!$L$5)</f>
        <v>13481.996125347141</v>
      </c>
      <c r="AM25" s="479">
        <f>AM24*(1+'Fayette County Statistics'!$L$5)</f>
        <v>8053.5361936947338</v>
      </c>
      <c r="AN25" s="544">
        <f>AN24*(1+'Fayette County Statistics'!$L$5)</f>
        <v>185.23133245497883</v>
      </c>
      <c r="AO25" s="544">
        <f t="shared" si="98"/>
        <v>72.240219657441727</v>
      </c>
      <c r="AP25" s="479">
        <f t="shared" si="12"/>
        <v>0</v>
      </c>
      <c r="AQ25" s="479">
        <f t="shared" si="13"/>
        <v>90.974250992384327</v>
      </c>
      <c r="AR25" s="479">
        <f t="shared" si="14"/>
        <v>451.35464166204048</v>
      </c>
      <c r="AS25" s="479">
        <f t="shared" si="88"/>
        <v>0</v>
      </c>
      <c r="AT25" s="479">
        <f t="shared" si="89"/>
        <v>35.479957887029869</v>
      </c>
      <c r="AU25" s="479">
        <f t="shared" si="90"/>
        <v>176.02831024819574</v>
      </c>
      <c r="AV25" s="544">
        <f t="shared" si="15"/>
        <v>185.23133245497883</v>
      </c>
      <c r="AW25" s="544">
        <f t="shared" si="16"/>
        <v>276.20558344736315</v>
      </c>
      <c r="AX25" s="544">
        <f t="shared" si="17"/>
        <v>636.5859741170193</v>
      </c>
      <c r="AY25" s="544">
        <f t="shared" si="99"/>
        <v>72.240219657441727</v>
      </c>
      <c r="AZ25" s="544">
        <f t="shared" si="100"/>
        <v>107.7201775444716</v>
      </c>
      <c r="BA25" s="544">
        <f t="shared" si="101"/>
        <v>248.26852990563748</v>
      </c>
      <c r="BB25" s="479">
        <f t="shared" si="18"/>
        <v>38432.109549795743</v>
      </c>
      <c r="BC25" s="479">
        <f t="shared" si="19"/>
        <v>29553.108056373858</v>
      </c>
      <c r="BD25" s="479">
        <f t="shared" si="20"/>
        <v>17205.362884259768</v>
      </c>
      <c r="BE25" s="544">
        <f t="shared" si="21"/>
        <v>519.71531035062503</v>
      </c>
      <c r="BF25" s="544">
        <f t="shared" si="22"/>
        <v>521.70125653166201</v>
      </c>
      <c r="BG25" s="479">
        <f t="shared" si="23"/>
        <v>0</v>
      </c>
      <c r="BH25" s="479">
        <f t="shared" si="24"/>
        <v>222.15549429562043</v>
      </c>
      <c r="BI25" s="479">
        <f t="shared" si="25"/>
        <v>1216.7492690394934</v>
      </c>
      <c r="BJ25" s="479">
        <f t="shared" si="26"/>
        <v>0</v>
      </c>
      <c r="BK25" s="479">
        <f t="shared" si="27"/>
        <v>211.13258293931989</v>
      </c>
      <c r="BL25" s="479">
        <f t="shared" si="28"/>
        <v>1203.5910105128053</v>
      </c>
      <c r="BM25" s="544">
        <f t="shared" si="29"/>
        <v>519.71531035062503</v>
      </c>
      <c r="BN25" s="544">
        <f t="shared" si="30"/>
        <v>741.87080464624546</v>
      </c>
      <c r="BO25" s="544">
        <f t="shared" si="31"/>
        <v>1736.4645793901184</v>
      </c>
      <c r="BP25" s="544">
        <f t="shared" si="32"/>
        <v>521.70125653166201</v>
      </c>
      <c r="BQ25" s="544">
        <f t="shared" si="33"/>
        <v>732.83383947098196</v>
      </c>
      <c r="BR25" s="544">
        <f t="shared" si="34"/>
        <v>1725.2922670444673</v>
      </c>
    </row>
    <row r="26" spans="2:70" x14ac:dyDescent="0.25">
      <c r="B26" s="486">
        <v>2037</v>
      </c>
      <c r="C26" s="479">
        <f>C25*(1+'Fayette County Statistics'!$L$5)</f>
        <v>5203.2368204982704</v>
      </c>
      <c r="D26" s="479">
        <f>D25*(1+'Fayette County Statistics'!$L$5)</f>
        <v>4440.8592678416326</v>
      </c>
      <c r="E26" s="479">
        <f>E25*(1+'Fayette County Statistics'!$L$5)</f>
        <v>2537.2114511816967</v>
      </c>
      <c r="F26" s="544">
        <f>F25*(1+'Fayette County Statistics'!$L$5)</f>
        <v>96.414035144904489</v>
      </c>
      <c r="G26" s="544">
        <f t="shared" si="91"/>
        <v>186.07908782966567</v>
      </c>
      <c r="H26" s="479">
        <f t="shared" si="0"/>
        <v>0</v>
      </c>
      <c r="I26" s="479">
        <f t="shared" si="1"/>
        <v>37.046244100347423</v>
      </c>
      <c r="J26" s="479">
        <f t="shared" si="2"/>
        <v>219.47322589685879</v>
      </c>
      <c r="K26" s="479">
        <f t="shared" si="82"/>
        <v>0</v>
      </c>
      <c r="L26" s="479">
        <f t="shared" si="83"/>
        <v>71.499251113670567</v>
      </c>
      <c r="M26" s="479">
        <f t="shared" si="84"/>
        <v>423.5833259809375</v>
      </c>
      <c r="N26" s="544">
        <f t="shared" si="3"/>
        <v>96.414035144904489</v>
      </c>
      <c r="O26" s="544">
        <f t="shared" si="4"/>
        <v>133.46027924525191</v>
      </c>
      <c r="P26" s="544">
        <f t="shared" si="5"/>
        <v>315.88726104176328</v>
      </c>
      <c r="Q26" s="544">
        <f t="shared" si="102"/>
        <v>186.07908782966567</v>
      </c>
      <c r="R26" s="544">
        <f t="shared" si="92"/>
        <v>257.57833894333623</v>
      </c>
      <c r="S26" s="544">
        <f t="shared" si="93"/>
        <v>609.6624138106032</v>
      </c>
      <c r="T26" s="479">
        <f>T25*(1+'Fayette County Statistics'!$L$5)</f>
        <v>15801.569591070382</v>
      </c>
      <c r="U26" s="479">
        <f>U25*(1+'Fayette County Statistics'!$L$5)</f>
        <v>11810.254997544023</v>
      </c>
      <c r="V26" s="479">
        <f>V25*(1+'Fayette County Statistics'!$L$5)</f>
        <v>6717.1190471484888</v>
      </c>
      <c r="W26" s="544">
        <f>W25*(1+'Fayette County Statistics'!$L$5)</f>
        <v>241.81628569734551</v>
      </c>
      <c r="X26" s="544">
        <f t="shared" si="94"/>
        <v>268.41607712405346</v>
      </c>
      <c r="Y26" s="479">
        <f t="shared" si="6"/>
        <v>0</v>
      </c>
      <c r="Z26" s="479">
        <f t="shared" si="7"/>
        <v>95.604277129645197</v>
      </c>
      <c r="AA26" s="479">
        <f t="shared" si="8"/>
        <v>554.49410137995517</v>
      </c>
      <c r="AB26" s="479">
        <f t="shared" si="85"/>
        <v>0</v>
      </c>
      <c r="AC26" s="479">
        <f t="shared" si="86"/>
        <v>106.12074761390619</v>
      </c>
      <c r="AD26" s="479">
        <f t="shared" si="87"/>
        <v>615.48845253175023</v>
      </c>
      <c r="AE26" s="544">
        <f t="shared" si="9"/>
        <v>241.81628569734551</v>
      </c>
      <c r="AF26" s="544">
        <f t="shared" si="10"/>
        <v>337.4205628269907</v>
      </c>
      <c r="AG26" s="544">
        <f t="shared" si="11"/>
        <v>796.31038707730067</v>
      </c>
      <c r="AH26" s="544">
        <f t="shared" si="95"/>
        <v>268.41607712405346</v>
      </c>
      <c r="AI26" s="544">
        <f t="shared" si="96"/>
        <v>374.53682473795965</v>
      </c>
      <c r="AJ26" s="544">
        <f t="shared" si="97"/>
        <v>883.90452965580369</v>
      </c>
      <c r="AK26" s="479">
        <f>AK25*(1+'Fayette County Statistics'!$L$5)</f>
        <v>17857.756828238817</v>
      </c>
      <c r="AL26" s="479">
        <f>AL25*(1+'Fayette County Statistics'!$L$5)</f>
        <v>13632.9994152748</v>
      </c>
      <c r="AM26" s="479">
        <f>AM25*(1+'Fayette County Statistics'!$L$5)</f>
        <v>8143.7387460091504</v>
      </c>
      <c r="AN26" s="544">
        <f>AN25*(1+'Fayette County Statistics'!$L$5)</f>
        <v>187.30599115821039</v>
      </c>
      <c r="AO26" s="544">
        <f t="shared" si="98"/>
        <v>73.049336551702027</v>
      </c>
      <c r="AP26" s="479">
        <f t="shared" si="12"/>
        <v>0</v>
      </c>
      <c r="AQ26" s="479">
        <f t="shared" si="13"/>
        <v>91.993195892741284</v>
      </c>
      <c r="AR26" s="479">
        <f t="shared" si="14"/>
        <v>456.40997880806958</v>
      </c>
      <c r="AS26" s="479">
        <f t="shared" si="88"/>
        <v>0</v>
      </c>
      <c r="AT26" s="479">
        <f t="shared" si="89"/>
        <v>35.877346398169095</v>
      </c>
      <c r="AU26" s="479">
        <f t="shared" si="90"/>
        <v>177.99989173514712</v>
      </c>
      <c r="AV26" s="544">
        <f t="shared" si="15"/>
        <v>187.30599115821039</v>
      </c>
      <c r="AW26" s="544">
        <f t="shared" si="16"/>
        <v>279.29918705095167</v>
      </c>
      <c r="AX26" s="544">
        <f t="shared" si="17"/>
        <v>643.71596996628</v>
      </c>
      <c r="AY26" s="544">
        <f t="shared" si="99"/>
        <v>73.049336551702027</v>
      </c>
      <c r="AZ26" s="544">
        <f t="shared" si="100"/>
        <v>108.92668294987112</v>
      </c>
      <c r="BA26" s="544">
        <f t="shared" si="101"/>
        <v>251.04922828684914</v>
      </c>
      <c r="BB26" s="479">
        <f t="shared" si="18"/>
        <v>38862.563239807467</v>
      </c>
      <c r="BC26" s="479">
        <f t="shared" si="19"/>
        <v>29884.113680660455</v>
      </c>
      <c r="BD26" s="479">
        <f t="shared" si="20"/>
        <v>17398.069244339335</v>
      </c>
      <c r="BE26" s="544">
        <f t="shared" si="21"/>
        <v>525.53631200046038</v>
      </c>
      <c r="BF26" s="544">
        <f t="shared" si="22"/>
        <v>527.54450150542118</v>
      </c>
      <c r="BG26" s="479">
        <f t="shared" si="23"/>
        <v>0</v>
      </c>
      <c r="BH26" s="479">
        <f t="shared" si="24"/>
        <v>224.6437171227339</v>
      </c>
      <c r="BI26" s="479">
        <f t="shared" si="25"/>
        <v>1230.3773060848835</v>
      </c>
      <c r="BJ26" s="479">
        <f t="shared" si="26"/>
        <v>0</v>
      </c>
      <c r="BK26" s="479">
        <f t="shared" si="27"/>
        <v>213.49734512574585</v>
      </c>
      <c r="BL26" s="479">
        <f t="shared" si="28"/>
        <v>1217.0716702478348</v>
      </c>
      <c r="BM26" s="544">
        <f t="shared" si="29"/>
        <v>525.53631200046038</v>
      </c>
      <c r="BN26" s="544">
        <f t="shared" si="30"/>
        <v>750.18002912319434</v>
      </c>
      <c r="BO26" s="544">
        <f t="shared" si="31"/>
        <v>1755.9136180853441</v>
      </c>
      <c r="BP26" s="544">
        <f t="shared" si="32"/>
        <v>527.54450150542118</v>
      </c>
      <c r="BQ26" s="544">
        <f t="shared" si="33"/>
        <v>741.04184663116689</v>
      </c>
      <c r="BR26" s="544">
        <f t="shared" si="34"/>
        <v>1744.6161717532559</v>
      </c>
    </row>
    <row r="27" spans="2:70" x14ac:dyDescent="0.25">
      <c r="B27" s="486">
        <v>2038</v>
      </c>
      <c r="C27" s="479">
        <f>C26*(1+'Fayette County Statistics'!$L$5)</f>
        <v>5261.5149768530837</v>
      </c>
      <c r="D27" s="479">
        <f>D26*(1+'Fayette County Statistics'!$L$5)</f>
        <v>4490.5985166379642</v>
      </c>
      <c r="E27" s="479">
        <f>E26*(1+'Fayette County Statistics'!$L$5)</f>
        <v>2565.6291478497933</v>
      </c>
      <c r="F27" s="544">
        <f>F26*(1+'Fayette County Statistics'!$L$5)</f>
        <v>97.493907618292155</v>
      </c>
      <c r="G27" s="544">
        <f t="shared" si="91"/>
        <v>188.16324170330387</v>
      </c>
      <c r="H27" s="479">
        <f t="shared" si="0"/>
        <v>0</v>
      </c>
      <c r="I27" s="479">
        <f t="shared" si="1"/>
        <v>37.461175590210274</v>
      </c>
      <c r="J27" s="479">
        <f t="shared" si="2"/>
        <v>221.93140633641212</v>
      </c>
      <c r="K27" s="479">
        <f t="shared" si="82"/>
        <v>0</v>
      </c>
      <c r="L27" s="479">
        <f t="shared" si="83"/>
        <v>72.30006888910583</v>
      </c>
      <c r="M27" s="479">
        <f t="shared" si="84"/>
        <v>428.32761422927541</v>
      </c>
      <c r="N27" s="544">
        <f t="shared" si="3"/>
        <v>97.493907618292155</v>
      </c>
      <c r="O27" s="544">
        <f t="shared" si="4"/>
        <v>134.95508320850243</v>
      </c>
      <c r="P27" s="544">
        <f t="shared" si="5"/>
        <v>319.42531395470428</v>
      </c>
      <c r="Q27" s="544">
        <f t="shared" si="102"/>
        <v>188.16324170330387</v>
      </c>
      <c r="R27" s="544">
        <f t="shared" si="92"/>
        <v>260.4633105924097</v>
      </c>
      <c r="S27" s="544">
        <f t="shared" si="93"/>
        <v>616.49085593257928</v>
      </c>
      <c r="T27" s="479">
        <f>T26*(1+'Fayette County Statistics'!$L$5)</f>
        <v>15978.552952591044</v>
      </c>
      <c r="U27" s="479">
        <f>U26*(1+'Fayette County Statistics'!$L$5)</f>
        <v>11942.534175117797</v>
      </c>
      <c r="V27" s="479">
        <f>V26*(1+'Fayette County Statistics'!$L$5)</f>
        <v>6792.353238400643</v>
      </c>
      <c r="W27" s="544">
        <f>W26*(1+'Fayette County Statistics'!$L$5)</f>
        <v>244.52471658242305</v>
      </c>
      <c r="X27" s="544">
        <f t="shared" si="94"/>
        <v>271.42243540648957</v>
      </c>
      <c r="Y27" s="479">
        <f t="shared" si="6"/>
        <v>0</v>
      </c>
      <c r="Z27" s="479">
        <f t="shared" si="7"/>
        <v>96.675080016955775</v>
      </c>
      <c r="AA27" s="479">
        <f t="shared" si="8"/>
        <v>560.7046382155529</v>
      </c>
      <c r="AB27" s="479">
        <f t="shared" si="85"/>
        <v>0</v>
      </c>
      <c r="AC27" s="479">
        <f t="shared" si="86"/>
        <v>107.30933881882089</v>
      </c>
      <c r="AD27" s="479">
        <f t="shared" si="87"/>
        <v>622.38214841926356</v>
      </c>
      <c r="AE27" s="544">
        <f t="shared" si="9"/>
        <v>244.52471658242305</v>
      </c>
      <c r="AF27" s="544">
        <f t="shared" si="10"/>
        <v>341.19979659937883</v>
      </c>
      <c r="AG27" s="544">
        <f t="shared" si="11"/>
        <v>805.22935479797593</v>
      </c>
      <c r="AH27" s="544">
        <f t="shared" si="95"/>
        <v>271.42243540648957</v>
      </c>
      <c r="AI27" s="544">
        <f t="shared" si="96"/>
        <v>378.73177422531046</v>
      </c>
      <c r="AJ27" s="544">
        <f t="shared" si="97"/>
        <v>893.80458382575318</v>
      </c>
      <c r="AK27" s="479">
        <f>AK26*(1+'Fayette County Statistics'!$L$5)</f>
        <v>18057.77023921454</v>
      </c>
      <c r="AL27" s="479">
        <f>AL26*(1+'Fayette County Statistics'!$L$5)</f>
        <v>13785.693997304681</v>
      </c>
      <c r="AM27" s="479">
        <f>AM26*(1+'Fayette County Statistics'!$L$5)</f>
        <v>8234.9515999163505</v>
      </c>
      <c r="AN27" s="544">
        <f>AN26*(1+'Fayette County Statistics'!$L$5)</f>
        <v>189.403886798076</v>
      </c>
      <c r="AO27" s="544">
        <f t="shared" si="98"/>
        <v>73.867515851249621</v>
      </c>
      <c r="AP27" s="479">
        <f t="shared" si="12"/>
        <v>0</v>
      </c>
      <c r="AQ27" s="479">
        <f t="shared" si="13"/>
        <v>93.023553348833929</v>
      </c>
      <c r="AR27" s="479">
        <f t="shared" si="14"/>
        <v>461.5219375799802</v>
      </c>
      <c r="AS27" s="479">
        <f t="shared" si="88"/>
        <v>0</v>
      </c>
      <c r="AT27" s="479">
        <f t="shared" si="89"/>
        <v>36.27918580604522</v>
      </c>
      <c r="AU27" s="479">
        <f t="shared" si="90"/>
        <v>179.9935556561922</v>
      </c>
      <c r="AV27" s="544">
        <f t="shared" si="15"/>
        <v>189.403886798076</v>
      </c>
      <c r="AW27" s="544">
        <f t="shared" si="16"/>
        <v>282.42744014690993</v>
      </c>
      <c r="AX27" s="544">
        <f t="shared" si="17"/>
        <v>650.92582437805618</v>
      </c>
      <c r="AY27" s="544">
        <f t="shared" si="99"/>
        <v>73.867515851249621</v>
      </c>
      <c r="AZ27" s="544">
        <f t="shared" si="100"/>
        <v>110.14670165729484</v>
      </c>
      <c r="BA27" s="544">
        <f t="shared" si="101"/>
        <v>253.86107150744184</v>
      </c>
      <c r="BB27" s="479">
        <f t="shared" si="18"/>
        <v>39297.838168658665</v>
      </c>
      <c r="BC27" s="479">
        <f t="shared" si="19"/>
        <v>30218.826689060443</v>
      </c>
      <c r="BD27" s="479">
        <f t="shared" si="20"/>
        <v>17592.933986166787</v>
      </c>
      <c r="BE27" s="544">
        <f t="shared" si="21"/>
        <v>531.42251099879115</v>
      </c>
      <c r="BF27" s="544">
        <f t="shared" si="22"/>
        <v>533.4531929610431</v>
      </c>
      <c r="BG27" s="479">
        <f t="shared" si="23"/>
        <v>0</v>
      </c>
      <c r="BH27" s="479">
        <f t="shared" si="24"/>
        <v>227.15980895599998</v>
      </c>
      <c r="BI27" s="479">
        <f t="shared" si="25"/>
        <v>1244.1579821319451</v>
      </c>
      <c r="BJ27" s="479">
        <f t="shared" si="26"/>
        <v>0</v>
      </c>
      <c r="BK27" s="479">
        <f t="shared" si="27"/>
        <v>215.88859351397195</v>
      </c>
      <c r="BL27" s="479">
        <f t="shared" si="28"/>
        <v>1230.7033183047313</v>
      </c>
      <c r="BM27" s="544">
        <f t="shared" si="29"/>
        <v>531.42251099879115</v>
      </c>
      <c r="BN27" s="544">
        <f t="shared" si="30"/>
        <v>758.58231995479116</v>
      </c>
      <c r="BO27" s="544">
        <f t="shared" si="31"/>
        <v>1775.5804931307364</v>
      </c>
      <c r="BP27" s="544">
        <f t="shared" si="32"/>
        <v>533.4531929610431</v>
      </c>
      <c r="BQ27" s="544">
        <f t="shared" si="33"/>
        <v>749.34178647501494</v>
      </c>
      <c r="BR27" s="544">
        <f t="shared" si="34"/>
        <v>1764.1565112657745</v>
      </c>
    </row>
    <row r="28" spans="2:70" x14ac:dyDescent="0.25">
      <c r="B28" s="486">
        <v>2039</v>
      </c>
      <c r="C28" s="479">
        <f>C27*(1+'Fayette County Statistics'!$L$5)</f>
        <v>5320.4458698841781</v>
      </c>
      <c r="D28" s="479">
        <f>D27*(1+'Fayette County Statistics'!$L$5)</f>
        <v>4540.8948632213705</v>
      </c>
      <c r="E28" s="479">
        <f>E27*(1+'Fayette County Statistics'!$L$5)</f>
        <v>2594.3651331191586</v>
      </c>
      <c r="F28" s="544">
        <f>F27*(1+'Fayette County Statistics'!$L$5)</f>
        <v>98.585875058528032</v>
      </c>
      <c r="G28" s="544">
        <f t="shared" si="91"/>
        <v>190.27073886295912</v>
      </c>
      <c r="H28" s="479">
        <f t="shared" si="0"/>
        <v>0</v>
      </c>
      <c r="I28" s="479">
        <f t="shared" si="1"/>
        <v>37.880754464591078</v>
      </c>
      <c r="J28" s="479">
        <f t="shared" si="2"/>
        <v>224.41711929638433</v>
      </c>
      <c r="K28" s="479">
        <f t="shared" si="82"/>
        <v>0</v>
      </c>
      <c r="L28" s="479">
        <f t="shared" si="83"/>
        <v>73.109856116660779</v>
      </c>
      <c r="M28" s="479">
        <f t="shared" si="84"/>
        <v>433.12504024202178</v>
      </c>
      <c r="N28" s="544">
        <f t="shared" si="3"/>
        <v>98.585875058528032</v>
      </c>
      <c r="O28" s="544">
        <f t="shared" si="4"/>
        <v>136.46662952311911</v>
      </c>
      <c r="P28" s="544">
        <f t="shared" si="5"/>
        <v>323.00299435491235</v>
      </c>
      <c r="Q28" s="544">
        <f t="shared" si="102"/>
        <v>190.27073886295912</v>
      </c>
      <c r="R28" s="544">
        <f t="shared" si="92"/>
        <v>263.3805949796199</v>
      </c>
      <c r="S28" s="544">
        <f t="shared" si="93"/>
        <v>623.39577910498087</v>
      </c>
      <c r="T28" s="479">
        <f>T27*(1+'Fayette County Statistics'!$L$5)</f>
        <v>16157.518592522381</v>
      </c>
      <c r="U28" s="479">
        <f>U27*(1+'Fayette County Statistics'!$L$5)</f>
        <v>12076.294927883913</v>
      </c>
      <c r="V28" s="479">
        <f>V27*(1+'Fayette County Statistics'!$L$5)</f>
        <v>6868.4300801244699</v>
      </c>
      <c r="W28" s="544">
        <f>W27*(1+'Fayette County Statistics'!$L$5)</f>
        <v>247.26348288448082</v>
      </c>
      <c r="X28" s="544">
        <f t="shared" si="94"/>
        <v>274.46246600177369</v>
      </c>
      <c r="Y28" s="479">
        <f t="shared" si="6"/>
        <v>0</v>
      </c>
      <c r="Z28" s="479">
        <f t="shared" si="7"/>
        <v>97.75787628843176</v>
      </c>
      <c r="AA28" s="479">
        <f t="shared" si="8"/>
        <v>566.98473533626509</v>
      </c>
      <c r="AB28" s="479">
        <f t="shared" si="85"/>
        <v>0</v>
      </c>
      <c r="AC28" s="479">
        <f t="shared" si="86"/>
        <v>108.51124268015923</v>
      </c>
      <c r="AD28" s="479">
        <f t="shared" si="87"/>
        <v>629.35305622325416</v>
      </c>
      <c r="AE28" s="544">
        <f t="shared" si="9"/>
        <v>247.26348288448082</v>
      </c>
      <c r="AF28" s="544">
        <f t="shared" si="10"/>
        <v>345.02135917291258</v>
      </c>
      <c r="AG28" s="544">
        <f t="shared" si="11"/>
        <v>814.24821822074591</v>
      </c>
      <c r="AH28" s="544">
        <f t="shared" si="95"/>
        <v>274.46246600177369</v>
      </c>
      <c r="AI28" s="544">
        <f t="shared" si="96"/>
        <v>382.97370868193292</v>
      </c>
      <c r="AJ28" s="544">
        <f t="shared" si="97"/>
        <v>903.81552222502785</v>
      </c>
      <c r="AK28" s="479">
        <f>AK27*(1+'Fayette County Statistics'!$L$5)</f>
        <v>18260.023873581977</v>
      </c>
      <c r="AL28" s="479">
        <f>AL27*(1+'Fayette County Statistics'!$L$5)</f>
        <v>13940.098814527204</v>
      </c>
      <c r="AM28" s="479">
        <f>AM27*(1+'Fayette County Statistics'!$L$5)</f>
        <v>8327.1860711638637</v>
      </c>
      <c r="AN28" s="544">
        <f>AN27*(1+'Fayette County Statistics'!$L$5)</f>
        <v>191.5252796367688</v>
      </c>
      <c r="AO28" s="544">
        <f t="shared" si="98"/>
        <v>74.694859058339816</v>
      </c>
      <c r="AP28" s="479">
        <f t="shared" si="12"/>
        <v>0</v>
      </c>
      <c r="AQ28" s="479">
        <f t="shared" si="13"/>
        <v>94.065451185462564</v>
      </c>
      <c r="AR28" s="479">
        <f t="shared" si="14"/>
        <v>466.69115216070077</v>
      </c>
      <c r="AS28" s="479">
        <f t="shared" si="88"/>
        <v>0</v>
      </c>
      <c r="AT28" s="479">
        <f t="shared" si="89"/>
        <v>36.685525962330388</v>
      </c>
      <c r="AU28" s="479">
        <f t="shared" si="90"/>
        <v>182.00954934267321</v>
      </c>
      <c r="AV28" s="544">
        <f t="shared" si="15"/>
        <v>191.5252796367688</v>
      </c>
      <c r="AW28" s="544">
        <f t="shared" si="16"/>
        <v>285.59073082223136</v>
      </c>
      <c r="AX28" s="544">
        <f t="shared" si="17"/>
        <v>658.21643179746957</v>
      </c>
      <c r="AY28" s="544">
        <f t="shared" si="99"/>
        <v>74.694859058339816</v>
      </c>
      <c r="AZ28" s="544">
        <f t="shared" si="100"/>
        <v>111.3803850206702</v>
      </c>
      <c r="BA28" s="544">
        <f t="shared" si="101"/>
        <v>256.70440840101304</v>
      </c>
      <c r="BB28" s="479">
        <f t="shared" si="18"/>
        <v>39737.988335988535</v>
      </c>
      <c r="BC28" s="479">
        <f t="shared" si="19"/>
        <v>30557.288605632486</v>
      </c>
      <c r="BD28" s="479">
        <f t="shared" si="20"/>
        <v>17789.981284407491</v>
      </c>
      <c r="BE28" s="544">
        <f t="shared" si="21"/>
        <v>537.37463757977764</v>
      </c>
      <c r="BF28" s="544">
        <f t="shared" si="22"/>
        <v>539.42806392307261</v>
      </c>
      <c r="BG28" s="479">
        <f t="shared" si="23"/>
        <v>0</v>
      </c>
      <c r="BH28" s="479">
        <f t="shared" si="24"/>
        <v>229.70408193848539</v>
      </c>
      <c r="BI28" s="479">
        <f t="shared" si="25"/>
        <v>1258.0930067933502</v>
      </c>
      <c r="BJ28" s="479">
        <f t="shared" si="26"/>
        <v>0</v>
      </c>
      <c r="BK28" s="479">
        <f t="shared" si="27"/>
        <v>218.3066247591504</v>
      </c>
      <c r="BL28" s="479">
        <f t="shared" si="28"/>
        <v>1244.4876458079491</v>
      </c>
      <c r="BM28" s="544">
        <f t="shared" si="29"/>
        <v>537.37463757977764</v>
      </c>
      <c r="BN28" s="544">
        <f t="shared" si="30"/>
        <v>767.07871951826314</v>
      </c>
      <c r="BO28" s="544">
        <f t="shared" si="31"/>
        <v>1795.4676443731278</v>
      </c>
      <c r="BP28" s="544">
        <f t="shared" si="32"/>
        <v>539.42806392307261</v>
      </c>
      <c r="BQ28" s="544">
        <f t="shared" si="33"/>
        <v>757.73468868222312</v>
      </c>
      <c r="BR28" s="544">
        <f t="shared" si="34"/>
        <v>1783.9157097310217</v>
      </c>
    </row>
    <row r="29" spans="2:70" x14ac:dyDescent="0.25">
      <c r="B29" s="486">
        <v>2040</v>
      </c>
      <c r="C29" s="479">
        <f>C28*(1+'Fayette County Statistics'!$L$5)</f>
        <v>5380.0368104811778</v>
      </c>
      <c r="D29" s="479">
        <f>D28*(1+'Fayette County Statistics'!$L$5)</f>
        <v>4591.7545472909196</v>
      </c>
      <c r="E29" s="479">
        <f>E28*(1+'Fayette County Statistics'!$L$5)</f>
        <v>2623.4229719385949</v>
      </c>
      <c r="F29" s="544">
        <f>F28*(1+'Fayette County Statistics'!$L$5)</f>
        <v>99.690072933666613</v>
      </c>
      <c r="G29" s="544">
        <f t="shared" si="91"/>
        <v>192.40184076197659</v>
      </c>
      <c r="H29" s="479">
        <f t="shared" si="0"/>
        <v>0</v>
      </c>
      <c r="I29" s="479">
        <f t="shared" si="1"/>
        <v>38.30503277589699</v>
      </c>
      <c r="J29" s="479">
        <f t="shared" si="2"/>
        <v>226.93067315107874</v>
      </c>
      <c r="K29" s="479">
        <f t="shared" si="82"/>
        <v>0</v>
      </c>
      <c r="L29" s="479">
        <f t="shared" si="83"/>
        <v>73.928713257481206</v>
      </c>
      <c r="M29" s="479">
        <f t="shared" si="84"/>
        <v>437.97619918158193</v>
      </c>
      <c r="N29" s="544">
        <f t="shared" si="3"/>
        <v>99.690072933666613</v>
      </c>
      <c r="O29" s="544">
        <f t="shared" si="4"/>
        <v>137.9951057095636</v>
      </c>
      <c r="P29" s="544">
        <f t="shared" si="5"/>
        <v>326.62074608474535</v>
      </c>
      <c r="Q29" s="544">
        <f t="shared" si="102"/>
        <v>192.40184076197659</v>
      </c>
      <c r="R29" s="544">
        <f t="shared" si="92"/>
        <v>266.33055401945779</v>
      </c>
      <c r="S29" s="544">
        <f t="shared" si="93"/>
        <v>630.37803994355852</v>
      </c>
      <c r="T29" s="479">
        <f>T28*(1+'Fayette County Statistics'!$L$5)</f>
        <v>16338.488713107947</v>
      </c>
      <c r="U29" s="479">
        <f>U28*(1+'Fayette County Statistics'!$L$5)</f>
        <v>12211.553850026663</v>
      </c>
      <c r="V29" s="479">
        <f>V28*(1+'Fayette County Statistics'!$L$5)</f>
        <v>6945.3590103135957</v>
      </c>
      <c r="W29" s="544">
        <f>W28*(1+'Fayette County Statistics'!$L$5)</f>
        <v>250.03292437128934</v>
      </c>
      <c r="X29" s="544">
        <f t="shared" si="94"/>
        <v>277.53654605213114</v>
      </c>
      <c r="Y29" s="479">
        <f t="shared" si="6"/>
        <v>0</v>
      </c>
      <c r="Z29" s="479">
        <f t="shared" si="7"/>
        <v>98.852800274364512</v>
      </c>
      <c r="AA29" s="479">
        <f t="shared" si="8"/>
        <v>573.33517184273865</v>
      </c>
      <c r="AB29" s="479">
        <f t="shared" si="85"/>
        <v>0</v>
      </c>
      <c r="AC29" s="479">
        <f t="shared" si="86"/>
        <v>109.72660830454458</v>
      </c>
      <c r="AD29" s="479">
        <f t="shared" si="87"/>
        <v>636.40204074543988</v>
      </c>
      <c r="AE29" s="544">
        <f t="shared" si="9"/>
        <v>250.03292437128934</v>
      </c>
      <c r="AF29" s="544">
        <f t="shared" si="10"/>
        <v>348.88572464565385</v>
      </c>
      <c r="AG29" s="544">
        <f t="shared" si="11"/>
        <v>823.36809621402801</v>
      </c>
      <c r="AH29" s="544">
        <f t="shared" si="95"/>
        <v>277.53654605213114</v>
      </c>
      <c r="AI29" s="544">
        <f t="shared" si="96"/>
        <v>387.26315435667573</v>
      </c>
      <c r="AJ29" s="544">
        <f t="shared" si="97"/>
        <v>913.93858679757102</v>
      </c>
      <c r="AK29" s="479">
        <f>AK28*(1+'Fayette County Statistics'!$L$5)</f>
        <v>18464.542822662854</v>
      </c>
      <c r="AL29" s="479">
        <f>AL28*(1+'Fayette County Statistics'!$L$5)</f>
        <v>14096.233022202336</v>
      </c>
      <c r="AM29" s="479">
        <f>AM28*(1+'Fayette County Statistics'!$L$5)</f>
        <v>8420.4536022397297</v>
      </c>
      <c r="AN29" s="544">
        <f>AN28*(1+'Fayette County Statistics'!$L$5)</f>
        <v>193.67043285151371</v>
      </c>
      <c r="AO29" s="544">
        <f t="shared" si="98"/>
        <v>75.531468812090324</v>
      </c>
      <c r="AP29" s="479">
        <f t="shared" si="12"/>
        <v>0</v>
      </c>
      <c r="AQ29" s="479">
        <f t="shared" si="13"/>
        <v>95.119018659112072</v>
      </c>
      <c r="AR29" s="479">
        <f t="shared" si="14"/>
        <v>471.91826383624141</v>
      </c>
      <c r="AS29" s="479">
        <f t="shared" si="88"/>
        <v>0</v>
      </c>
      <c r="AT29" s="479">
        <f t="shared" si="89"/>
        <v>37.096417277053703</v>
      </c>
      <c r="AU29" s="479">
        <f t="shared" si="90"/>
        <v>184.04812289613409</v>
      </c>
      <c r="AV29" s="544">
        <f t="shared" si="15"/>
        <v>193.67043285151371</v>
      </c>
      <c r="AW29" s="544">
        <f t="shared" si="16"/>
        <v>288.78945151062578</v>
      </c>
      <c r="AX29" s="544">
        <f t="shared" si="17"/>
        <v>665.58869668775515</v>
      </c>
      <c r="AY29" s="544">
        <f t="shared" si="99"/>
        <v>75.531468812090324</v>
      </c>
      <c r="AZ29" s="544">
        <f t="shared" si="100"/>
        <v>112.62788608914403</v>
      </c>
      <c r="BA29" s="544">
        <f t="shared" si="101"/>
        <v>259.57959170822443</v>
      </c>
      <c r="BB29" s="479">
        <f t="shared" si="18"/>
        <v>40183.068346251981</v>
      </c>
      <c r="BC29" s="479">
        <f t="shared" si="19"/>
        <v>30899.541419519919</v>
      </c>
      <c r="BD29" s="479">
        <f t="shared" si="20"/>
        <v>17989.235584491922</v>
      </c>
      <c r="BE29" s="544">
        <f t="shared" si="21"/>
        <v>543.39343015646966</v>
      </c>
      <c r="BF29" s="544">
        <f t="shared" si="22"/>
        <v>545.46985562619807</v>
      </c>
      <c r="BG29" s="479">
        <f t="shared" si="23"/>
        <v>0</v>
      </c>
      <c r="BH29" s="479">
        <f t="shared" si="24"/>
        <v>232.27685170937357</v>
      </c>
      <c r="BI29" s="479">
        <f t="shared" si="25"/>
        <v>1272.1841088300589</v>
      </c>
      <c r="BJ29" s="479">
        <f t="shared" si="26"/>
        <v>0</v>
      </c>
      <c r="BK29" s="479">
        <f t="shared" si="27"/>
        <v>220.75173883907951</v>
      </c>
      <c r="BL29" s="479">
        <f t="shared" si="28"/>
        <v>1258.4263628231558</v>
      </c>
      <c r="BM29" s="544">
        <f t="shared" si="29"/>
        <v>543.39343015646966</v>
      </c>
      <c r="BN29" s="544">
        <f t="shared" si="30"/>
        <v>775.67028186584321</v>
      </c>
      <c r="BO29" s="544">
        <f t="shared" si="31"/>
        <v>1815.5775389865285</v>
      </c>
      <c r="BP29" s="544">
        <f t="shared" si="32"/>
        <v>545.46985562619807</v>
      </c>
      <c r="BQ29" s="544">
        <f t="shared" si="33"/>
        <v>766.22159446527746</v>
      </c>
      <c r="BR29" s="544">
        <f t="shared" si="34"/>
        <v>1803.8962184493539</v>
      </c>
    </row>
    <row r="30" spans="2:70" x14ac:dyDescent="0.25">
      <c r="B30" s="486">
        <v>2041</v>
      </c>
      <c r="C30" s="479">
        <f>C29*(1+'Fayette County Statistics'!$L$5)</f>
        <v>5440.2951914183441</v>
      </c>
      <c r="D30" s="479">
        <f>D29*(1+'Fayette County Statistics'!$L$5)</f>
        <v>4643.1838784325919</v>
      </c>
      <c r="E30" s="479">
        <f>E29*(1+'Fayette County Statistics'!$L$5)</f>
        <v>2652.8062691856353</v>
      </c>
      <c r="F30" s="544">
        <f>F29*(1+'Fayette County Statistics'!$L$5)</f>
        <v>100.80663822905416</v>
      </c>
      <c r="G30" s="544">
        <f t="shared" si="91"/>
        <v>194.55681178207453</v>
      </c>
      <c r="H30" s="479">
        <f t="shared" si="0"/>
        <v>0</v>
      </c>
      <c r="I30" s="479">
        <f t="shared" si="1"/>
        <v>38.734063159541193</v>
      </c>
      <c r="J30" s="479">
        <f t="shared" si="2"/>
        <v>229.47237972870386</v>
      </c>
      <c r="K30" s="479">
        <f t="shared" si="82"/>
        <v>0</v>
      </c>
      <c r="L30" s="479">
        <f t="shared" si="83"/>
        <v>74.756741897914537</v>
      </c>
      <c r="M30" s="479">
        <f t="shared" si="84"/>
        <v>442.88169287639846</v>
      </c>
      <c r="N30" s="544">
        <f t="shared" si="3"/>
        <v>100.80663822905416</v>
      </c>
      <c r="O30" s="544">
        <f t="shared" si="4"/>
        <v>139.54070138859535</v>
      </c>
      <c r="P30" s="544">
        <f t="shared" si="5"/>
        <v>330.27901795775801</v>
      </c>
      <c r="Q30" s="544">
        <f t="shared" si="102"/>
        <v>194.55681178207453</v>
      </c>
      <c r="R30" s="544">
        <f t="shared" si="92"/>
        <v>269.31355367998907</v>
      </c>
      <c r="S30" s="544">
        <f t="shared" si="93"/>
        <v>637.43850465847299</v>
      </c>
      <c r="T30" s="479">
        <f>T29*(1+'Fayette County Statistics'!$L$5)</f>
        <v>16521.485765264548</v>
      </c>
      <c r="U30" s="479">
        <f>U29*(1+'Fayette County Statistics'!$L$5)</f>
        <v>12348.327721591273</v>
      </c>
      <c r="V30" s="479">
        <f>V29*(1+'Fayette County Statistics'!$L$5)</f>
        <v>7023.1495726706262</v>
      </c>
      <c r="W30" s="544">
        <f>W29*(1+'Fayette County Statistics'!$L$5)</f>
        <v>252.83338461614244</v>
      </c>
      <c r="X30" s="544">
        <f t="shared" si="94"/>
        <v>280.64505692391805</v>
      </c>
      <c r="Y30" s="479">
        <f t="shared" si="6"/>
        <v>0</v>
      </c>
      <c r="Z30" s="479">
        <f t="shared" si="7"/>
        <v>99.959987809593599</v>
      </c>
      <c r="AA30" s="479">
        <f t="shared" si="8"/>
        <v>579.75673556183256</v>
      </c>
      <c r="AB30" s="479">
        <f t="shared" si="85"/>
        <v>0</v>
      </c>
      <c r="AC30" s="479">
        <f t="shared" si="86"/>
        <v>110.9555864686489</v>
      </c>
      <c r="AD30" s="479">
        <f t="shared" si="87"/>
        <v>643.52997647363418</v>
      </c>
      <c r="AE30" s="544">
        <f t="shared" si="9"/>
        <v>252.83338461614244</v>
      </c>
      <c r="AF30" s="544">
        <f t="shared" si="10"/>
        <v>352.79337242573604</v>
      </c>
      <c r="AG30" s="544">
        <f t="shared" si="11"/>
        <v>832.590120177975</v>
      </c>
      <c r="AH30" s="544">
        <f t="shared" si="95"/>
        <v>280.64505692391805</v>
      </c>
      <c r="AI30" s="544">
        <f>(AF30*(2.11-1))</f>
        <v>391.60064339256695</v>
      </c>
      <c r="AJ30" s="544">
        <f t="shared" si="97"/>
        <v>924.17503339755217</v>
      </c>
      <c r="AK30" s="479">
        <f>AK29*(1+'Fayette County Statistics'!$L$5)</f>
        <v>18671.352458810888</v>
      </c>
      <c r="AL30" s="479">
        <f>AL29*(1+'Fayette County Statistics'!$L$5)</f>
        <v>14254.115990135962</v>
      </c>
      <c r="AM30" s="479">
        <f>AM29*(1+'Fayette County Statistics'!$L$5)</f>
        <v>8514.7657637920438</v>
      </c>
      <c r="AN30" s="544">
        <f>AN29*(1+'Fayette County Statistics'!$L$5)</f>
        <v>195.83961256721693</v>
      </c>
      <c r="AO30" s="544">
        <f t="shared" si="98"/>
        <v>76.377448901214578</v>
      </c>
      <c r="AP30" s="479">
        <f t="shared" si="12"/>
        <v>0</v>
      </c>
      <c r="AQ30" s="479">
        <f t="shared" si="13"/>
        <v>96.184386473987217</v>
      </c>
      <c r="AR30" s="479">
        <f t="shared" si="14"/>
        <v>477.2039210752497</v>
      </c>
      <c r="AS30" s="479">
        <f t="shared" si="88"/>
        <v>0</v>
      </c>
      <c r="AT30" s="479">
        <f t="shared" si="89"/>
        <v>37.511910724855014</v>
      </c>
      <c r="AU30" s="479">
        <f t="shared" si="90"/>
        <v>186.10952921934734</v>
      </c>
      <c r="AV30" s="544">
        <f t="shared" si="15"/>
        <v>195.83961256721693</v>
      </c>
      <c r="AW30" s="544">
        <f t="shared" si="16"/>
        <v>292.02399904120415</v>
      </c>
      <c r="AX30" s="544">
        <f t="shared" si="17"/>
        <v>673.04353364246663</v>
      </c>
      <c r="AY30" s="544">
        <f t="shared" si="99"/>
        <v>76.377448901214578</v>
      </c>
      <c r="AZ30" s="544">
        <f t="shared" si="100"/>
        <v>113.88935962606959</v>
      </c>
      <c r="BA30" s="544">
        <f t="shared" si="101"/>
        <v>262.4869781205619</v>
      </c>
      <c r="BB30" s="479">
        <f t="shared" si="18"/>
        <v>40633.133415493779</v>
      </c>
      <c r="BC30" s="479">
        <f t="shared" si="19"/>
        <v>31245.627590159827</v>
      </c>
      <c r="BD30" s="479">
        <f t="shared" si="20"/>
        <v>18190.721605648305</v>
      </c>
      <c r="BE30" s="544">
        <f t="shared" si="21"/>
        <v>549.47963541241347</v>
      </c>
      <c r="BF30" s="544">
        <f t="shared" si="22"/>
        <v>551.57931760720714</v>
      </c>
      <c r="BG30" s="479">
        <f t="shared" si="23"/>
        <v>0</v>
      </c>
      <c r="BH30" s="479">
        <f t="shared" si="24"/>
        <v>234.87843744312201</v>
      </c>
      <c r="BI30" s="479">
        <f t="shared" si="25"/>
        <v>1286.4330363657859</v>
      </c>
      <c r="BJ30" s="479">
        <f t="shared" si="26"/>
        <v>0</v>
      </c>
      <c r="BK30" s="479">
        <f t="shared" si="27"/>
        <v>223.22423909141844</v>
      </c>
      <c r="BL30" s="479">
        <f t="shared" si="28"/>
        <v>1272.52119856938</v>
      </c>
      <c r="BM30" s="544">
        <f t="shared" si="29"/>
        <v>549.47963541241347</v>
      </c>
      <c r="BN30" s="544">
        <f t="shared" si="30"/>
        <v>784.35807285553551</v>
      </c>
      <c r="BO30" s="544">
        <f t="shared" si="31"/>
        <v>1835.9126717781996</v>
      </c>
      <c r="BP30" s="544">
        <f t="shared" si="32"/>
        <v>551.57931760720714</v>
      </c>
      <c r="BQ30" s="544">
        <f t="shared" si="33"/>
        <v>774.80355669862558</v>
      </c>
      <c r="BR30" s="544">
        <f t="shared" si="34"/>
        <v>1824.100516176587</v>
      </c>
    </row>
    <row r="31" spans="2:70" x14ac:dyDescent="0.25">
      <c r="B31" s="486">
        <v>2042</v>
      </c>
      <c r="C31" s="479">
        <f>C30*(1+'Fayette County Statistics'!$L$5)</f>
        <v>5501.2284882717167</v>
      </c>
      <c r="D31" s="479">
        <f>D30*(1+'Fayette County Statistics'!$L$5)</f>
        <v>4695.1892369020397</v>
      </c>
      <c r="E31" s="479">
        <f>E30*(1+'Fayette County Statistics'!$L$5)</f>
        <v>2682.5186701137609</v>
      </c>
      <c r="F31" s="544">
        <f>F30*(1+'Fayette County Statistics'!$L$5)</f>
        <v>101.93570946432293</v>
      </c>
      <c r="G31" s="544">
        <f t="shared" si="91"/>
        <v>196.73591926614327</v>
      </c>
      <c r="H31" s="479">
        <f t="shared" si="0"/>
        <v>0</v>
      </c>
      <c r="I31" s="479">
        <f t="shared" si="1"/>
        <v>39.167898840472745</v>
      </c>
      <c r="J31" s="479">
        <f t="shared" si="2"/>
        <v>232.04255435005808</v>
      </c>
      <c r="K31" s="479">
        <f t="shared" si="82"/>
        <v>0</v>
      </c>
      <c r="L31" s="479">
        <f t="shared" si="83"/>
        <v>75.594044762112418</v>
      </c>
      <c r="M31" s="479">
        <f t="shared" si="84"/>
        <v>447.84212989561217</v>
      </c>
      <c r="N31" s="544">
        <f t="shared" si="3"/>
        <v>101.93570946432293</v>
      </c>
      <c r="O31" s="544">
        <f t="shared" si="4"/>
        <v>141.10360830479567</v>
      </c>
      <c r="P31" s="544">
        <f t="shared" si="5"/>
        <v>333.97826381438102</v>
      </c>
      <c r="Q31" s="544">
        <f t="shared" si="102"/>
        <v>196.73591926614327</v>
      </c>
      <c r="R31" s="544">
        <f t="shared" si="92"/>
        <v>272.32996402825569</v>
      </c>
      <c r="S31" s="544">
        <f t="shared" si="93"/>
        <v>644.57804916175542</v>
      </c>
      <c r="T31" s="479">
        <f>T30*(1+'Fayette County Statistics'!$L$5)</f>
        <v>16706.532451367471</v>
      </c>
      <c r="U31" s="479">
        <f>U30*(1+'Fayette County Statistics'!$L$5)</f>
        <v>12486.633510565618</v>
      </c>
      <c r="V31" s="479">
        <f>V30*(1+'Fayette County Statistics'!$L$5)</f>
        <v>7101.8114177911302</v>
      </c>
      <c r="W31" s="544">
        <f>W30*(1+'Fayette County Statistics'!$L$5)</f>
        <v>255.66521104048059</v>
      </c>
      <c r="X31" s="544">
        <f t="shared" si="94"/>
        <v>283.78838425493342</v>
      </c>
      <c r="Y31" s="479">
        <f t="shared" si="6"/>
        <v>0</v>
      </c>
      <c r="Z31" s="479">
        <f t="shared" si="7"/>
        <v>101.07957625035863</v>
      </c>
      <c r="AA31" s="479">
        <f t="shared" si="8"/>
        <v>586.25022314435489</v>
      </c>
      <c r="AB31" s="479">
        <f t="shared" si="85"/>
        <v>0</v>
      </c>
      <c r="AC31" s="479">
        <f t="shared" si="86"/>
        <v>112.19832963789804</v>
      </c>
      <c r="AD31" s="479">
        <f t="shared" si="87"/>
        <v>650.73774769023385</v>
      </c>
      <c r="AE31" s="544">
        <f t="shared" si="9"/>
        <v>255.66521104048059</v>
      </c>
      <c r="AF31" s="544">
        <f t="shared" si="10"/>
        <v>356.74478729083921</v>
      </c>
      <c r="AG31" s="544">
        <f t="shared" si="11"/>
        <v>841.91543418483548</v>
      </c>
      <c r="AH31" s="544">
        <f t="shared" si="95"/>
        <v>283.78838425493342</v>
      </c>
      <c r="AI31" s="544">
        <f t="shared" si="96"/>
        <v>395.98671389283146</v>
      </c>
      <c r="AJ31" s="544">
        <f t="shared" si="97"/>
        <v>934.52613194516732</v>
      </c>
      <c r="AK31" s="479">
        <f>AK30*(1+'Fayette County Statistics'!$L$5)</f>
        <v>18880.478438559436</v>
      </c>
      <c r="AL31" s="479">
        <f>AL30*(1+'Fayette County Statistics'!$L$5)</f>
        <v>14413.767305082885</v>
      </c>
      <c r="AM31" s="479">
        <f>AM30*(1+'Fayette County Statistics'!$L$5)</f>
        <v>8610.1342560643916</v>
      </c>
      <c r="AN31" s="544">
        <f>AN30*(1+'Fayette County Statistics'!$L$5)</f>
        <v>198.03308788948092</v>
      </c>
      <c r="AO31" s="544">
        <f t="shared" si="98"/>
        <v>77.232904276897543</v>
      </c>
      <c r="AP31" s="479">
        <f t="shared" si="12"/>
        <v>0</v>
      </c>
      <c r="AQ31" s="479">
        <f t="shared" si="13"/>
        <v>97.261686798227714</v>
      </c>
      <c r="AR31" s="479">
        <f t="shared" si="14"/>
        <v>482.54877960945907</v>
      </c>
      <c r="AS31" s="479">
        <f t="shared" si="88"/>
        <v>0</v>
      </c>
      <c r="AT31" s="479">
        <f t="shared" si="89"/>
        <v>37.932057851308798</v>
      </c>
      <c r="AU31" s="479">
        <f t="shared" si="90"/>
        <v>188.19402404768897</v>
      </c>
      <c r="AV31" s="544">
        <f t="shared" si="15"/>
        <v>198.03308788948092</v>
      </c>
      <c r="AW31" s="544">
        <f t="shared" si="16"/>
        <v>295.29477468770864</v>
      </c>
      <c r="AX31" s="544">
        <f t="shared" si="17"/>
        <v>680.58186749894003</v>
      </c>
      <c r="AY31" s="544">
        <f t="shared" si="99"/>
        <v>77.232904276897543</v>
      </c>
      <c r="AZ31" s="544">
        <f t="shared" si="100"/>
        <v>115.16496212820634</v>
      </c>
      <c r="BA31" s="544">
        <f t="shared" si="101"/>
        <v>265.42692832458653</v>
      </c>
      <c r="BB31" s="479">
        <f t="shared" si="18"/>
        <v>41088.239378198625</v>
      </c>
      <c r="BC31" s="479">
        <f t="shared" si="19"/>
        <v>31595.590052550542</v>
      </c>
      <c r="BD31" s="479">
        <f t="shared" si="20"/>
        <v>18394.464343969281</v>
      </c>
      <c r="BE31" s="544">
        <f t="shared" si="21"/>
        <v>555.63400839428448</v>
      </c>
      <c r="BF31" s="544">
        <f t="shared" si="22"/>
        <v>557.75720779797427</v>
      </c>
      <c r="BG31" s="479">
        <f t="shared" si="23"/>
        <v>0</v>
      </c>
      <c r="BH31" s="479">
        <f t="shared" si="24"/>
        <v>237.50916188905907</v>
      </c>
      <c r="BI31" s="479">
        <f t="shared" si="25"/>
        <v>1300.8415571038722</v>
      </c>
      <c r="BJ31" s="479">
        <f t="shared" si="26"/>
        <v>0</v>
      </c>
      <c r="BK31" s="479">
        <f t="shared" si="27"/>
        <v>225.72443225131926</v>
      </c>
      <c r="BL31" s="479">
        <f t="shared" si="28"/>
        <v>1286.7739016335352</v>
      </c>
      <c r="BM31" s="544">
        <f t="shared" si="29"/>
        <v>555.63400839428448</v>
      </c>
      <c r="BN31" s="544">
        <f t="shared" si="30"/>
        <v>793.14317028334358</v>
      </c>
      <c r="BO31" s="544">
        <f t="shared" si="31"/>
        <v>1856.4755654981566</v>
      </c>
      <c r="BP31" s="544">
        <f t="shared" si="32"/>
        <v>557.75720779797427</v>
      </c>
      <c r="BQ31" s="544">
        <f t="shared" si="33"/>
        <v>783.48164004929345</v>
      </c>
      <c r="BR31" s="544">
        <f t="shared" si="34"/>
        <v>1844.5311094315091</v>
      </c>
    </row>
    <row r="32" spans="2:70" x14ac:dyDescent="0.25">
      <c r="B32" s="486">
        <v>2043</v>
      </c>
      <c r="C32" s="479">
        <f>C31*(1+'Fayette County Statistics'!$L$5)</f>
        <v>5562.8442603465219</v>
      </c>
      <c r="D32" s="479">
        <f>D31*(1+'Fayette County Statistics'!$L$5)</f>
        <v>4747.7770744161144</v>
      </c>
      <c r="E32" s="479">
        <f>E31*(1+'Fayette County Statistics'!$L$5)</f>
        <v>2712.5638608046252</v>
      </c>
      <c r="F32" s="544">
        <f>F31*(1+'Fayette County Statistics'!$L$5)</f>
        <v>103.07742671057576</v>
      </c>
      <c r="G32" s="544">
        <f t="shared" si="91"/>
        <v>198.93943355141124</v>
      </c>
      <c r="H32" s="479">
        <f t="shared" si="0"/>
        <v>0</v>
      </c>
      <c r="I32" s="479">
        <f t="shared" si="1"/>
        <v>39.606593639779618</v>
      </c>
      <c r="J32" s="479">
        <f t="shared" si="2"/>
        <v>234.6415158676482</v>
      </c>
      <c r="K32" s="479">
        <f t="shared" si="82"/>
        <v>0</v>
      </c>
      <c r="L32" s="479">
        <f t="shared" si="83"/>
        <v>76.440725724774666</v>
      </c>
      <c r="M32" s="479">
        <f t="shared" si="84"/>
        <v>452.85812562456107</v>
      </c>
      <c r="N32" s="544">
        <f t="shared" si="3"/>
        <v>103.07742671057576</v>
      </c>
      <c r="O32" s="544">
        <f t="shared" si="4"/>
        <v>142.68402035035538</v>
      </c>
      <c r="P32" s="544">
        <f t="shared" si="5"/>
        <v>337.71894257822396</v>
      </c>
      <c r="Q32" s="544">
        <f t="shared" si="102"/>
        <v>198.93943355141124</v>
      </c>
      <c r="R32" s="544">
        <f t="shared" si="92"/>
        <v>275.38015927618591</v>
      </c>
      <c r="S32" s="544">
        <f t="shared" si="93"/>
        <v>651.79755917597231</v>
      </c>
      <c r="T32" s="479">
        <f>T31*(1+'Fayette County Statistics'!$L$5)</f>
        <v>16893.651728066918</v>
      </c>
      <c r="U32" s="479">
        <f>U31*(1+'Fayette County Statistics'!$L$5)</f>
        <v>12626.488374985245</v>
      </c>
      <c r="V32" s="479">
        <f>V31*(1+'Fayette County Statistics'!$L$5)</f>
        <v>7181.3543043608788</v>
      </c>
      <c r="W32" s="544">
        <f>W31*(1+'Fayette County Statistics'!$L$5)</f>
        <v>258.52875495699152</v>
      </c>
      <c r="X32" s="544">
        <f t="shared" si="94"/>
        <v>286.96691800226057</v>
      </c>
      <c r="Y32" s="479">
        <f t="shared" si="6"/>
        <v>0</v>
      </c>
      <c r="Z32" s="479">
        <f t="shared" si="7"/>
        <v>102.21170449133928</v>
      </c>
      <c r="AA32" s="479">
        <f t="shared" si="8"/>
        <v>592.81644016389453</v>
      </c>
      <c r="AB32" s="479">
        <f t="shared" si="85"/>
        <v>0</v>
      </c>
      <c r="AC32" s="479">
        <f t="shared" si="86"/>
        <v>113.45499198538658</v>
      </c>
      <c r="AD32" s="479">
        <f t="shared" si="87"/>
        <v>658.0262485819228</v>
      </c>
      <c r="AE32" s="544">
        <f t="shared" si="9"/>
        <v>258.52875495699152</v>
      </c>
      <c r="AF32" s="544">
        <f t="shared" si="10"/>
        <v>360.7404594483308</v>
      </c>
      <c r="AG32" s="544">
        <f t="shared" si="11"/>
        <v>851.34519512088605</v>
      </c>
      <c r="AH32" s="544">
        <f t="shared" si="95"/>
        <v>286.96691800226057</v>
      </c>
      <c r="AI32" s="544">
        <f t="shared" si="96"/>
        <v>400.42190998764715</v>
      </c>
      <c r="AJ32" s="544">
        <f t="shared" si="97"/>
        <v>944.99316658418343</v>
      </c>
      <c r="AK32" s="479">
        <f>AK31*(1+'Fayette County Statistics'!$L$5)</f>
        <v>19091.946705804417</v>
      </c>
      <c r="AL32" s="479">
        <f>AL31*(1+'Fayette County Statistics'!$L$5)</f>
        <v>14575.206773176724</v>
      </c>
      <c r="AM32" s="479">
        <f>AM31*(1+'Fayette County Statistics'!$L$5)</f>
        <v>8706.570910347371</v>
      </c>
      <c r="AN32" s="544">
        <f>AN31*(1+'Fayette County Statistics'!$L$5)</f>
        <v>200.25113093798944</v>
      </c>
      <c r="AO32" s="544">
        <f t="shared" si="98"/>
        <v>78.09794106581586</v>
      </c>
      <c r="AP32" s="479">
        <f t="shared" si="12"/>
        <v>0</v>
      </c>
      <c r="AQ32" s="479">
        <f t="shared" si="13"/>
        <v>98.351053280304768</v>
      </c>
      <c r="AR32" s="479">
        <f t="shared" si="14"/>
        <v>487.95350251503913</v>
      </c>
      <c r="AS32" s="479">
        <f t="shared" si="88"/>
        <v>0</v>
      </c>
      <c r="AT32" s="479">
        <f t="shared" si="89"/>
        <v>38.356910779318852</v>
      </c>
      <c r="AU32" s="479">
        <f t="shared" si="90"/>
        <v>190.30186598086522</v>
      </c>
      <c r="AV32" s="544">
        <f t="shared" si="15"/>
        <v>200.25113093798944</v>
      </c>
      <c r="AW32" s="544">
        <f t="shared" si="16"/>
        <v>298.60218421829421</v>
      </c>
      <c r="AX32" s="544">
        <f t="shared" si="17"/>
        <v>688.20463345302858</v>
      </c>
      <c r="AY32" s="544">
        <f t="shared" si="99"/>
        <v>78.09794106581586</v>
      </c>
      <c r="AZ32" s="544">
        <f t="shared" si="100"/>
        <v>116.45485184513471</v>
      </c>
      <c r="BA32" s="544">
        <f t="shared" si="101"/>
        <v>268.39980704668108</v>
      </c>
      <c r="BB32" s="479">
        <f t="shared" si="18"/>
        <v>41548.442694217854</v>
      </c>
      <c r="BC32" s="479">
        <f t="shared" si="19"/>
        <v>31949.472222578082</v>
      </c>
      <c r="BD32" s="479">
        <f t="shared" si="20"/>
        <v>18600.489075512873</v>
      </c>
      <c r="BE32" s="544">
        <f t="shared" si="21"/>
        <v>561.85731260555667</v>
      </c>
      <c r="BF32" s="544">
        <f t="shared" si="22"/>
        <v>564.00429261948761</v>
      </c>
      <c r="BG32" s="479">
        <f t="shared" si="23"/>
        <v>0</v>
      </c>
      <c r="BH32" s="479">
        <f t="shared" si="24"/>
        <v>240.16935141142366</v>
      </c>
      <c r="BI32" s="479">
        <f t="shared" si="25"/>
        <v>1315.4114585465818</v>
      </c>
      <c r="BJ32" s="479">
        <f t="shared" si="26"/>
        <v>0</v>
      </c>
      <c r="BK32" s="479">
        <f t="shared" si="27"/>
        <v>228.25262848948012</v>
      </c>
      <c r="BL32" s="479">
        <f t="shared" si="28"/>
        <v>1301.1862401873491</v>
      </c>
      <c r="BM32" s="544">
        <f t="shared" si="29"/>
        <v>561.85731260555667</v>
      </c>
      <c r="BN32" s="544">
        <f t="shared" si="30"/>
        <v>802.02666401698048</v>
      </c>
      <c r="BO32" s="544">
        <f t="shared" si="31"/>
        <v>1877.2687711521385</v>
      </c>
      <c r="BP32" s="544">
        <f t="shared" si="32"/>
        <v>564.00429261948761</v>
      </c>
      <c r="BQ32" s="544">
        <f t="shared" si="33"/>
        <v>792.25692110896784</v>
      </c>
      <c r="BR32" s="544">
        <f t="shared" si="34"/>
        <v>1865.1905328068369</v>
      </c>
    </row>
    <row r="33" spans="2:70" x14ac:dyDescent="0.25">
      <c r="B33" s="486">
        <v>2044</v>
      </c>
      <c r="C33" s="479">
        <f>C32*(1+'Fayette County Statistics'!$L$5)</f>
        <v>5625.1501516149701</v>
      </c>
      <c r="D33" s="479">
        <f>D32*(1+'Fayette County Statistics'!$L$5)</f>
        <v>4800.9539149532566</v>
      </c>
      <c r="E33" s="479">
        <f>E32*(1+'Fayette County Statistics'!$L$5)</f>
        <v>2742.945568625345</v>
      </c>
      <c r="F33" s="544">
        <f>F32*(1+'Fayette County Statistics'!$L$5)</f>
        <v>104.23193160776312</v>
      </c>
      <c r="G33" s="544">
        <f t="shared" si="91"/>
        <v>201.16762800298284</v>
      </c>
      <c r="H33" s="479">
        <f t="shared" si="0"/>
        <v>0</v>
      </c>
      <c r="I33" s="479">
        <f t="shared" si="1"/>
        <v>40.050201981365646</v>
      </c>
      <c r="J33" s="479">
        <f t="shared" si="2"/>
        <v>237.26958670524579</v>
      </c>
      <c r="K33" s="479">
        <f t="shared" si="82"/>
        <v>0</v>
      </c>
      <c r="L33" s="479">
        <f t="shared" si="83"/>
        <v>77.296889824035702</v>
      </c>
      <c r="M33" s="479">
        <f t="shared" si="84"/>
        <v>457.93030234112439</v>
      </c>
      <c r="N33" s="544">
        <f t="shared" si="3"/>
        <v>104.23193160776312</v>
      </c>
      <c r="O33" s="544">
        <f t="shared" si="4"/>
        <v>144.28213358912876</v>
      </c>
      <c r="P33" s="544">
        <f t="shared" si="5"/>
        <v>341.50151831300889</v>
      </c>
      <c r="Q33" s="544">
        <f t="shared" si="102"/>
        <v>201.16762800298284</v>
      </c>
      <c r="R33" s="544">
        <f t="shared" si="92"/>
        <v>278.46451782701854</v>
      </c>
      <c r="S33" s="544">
        <f t="shared" si="93"/>
        <v>659.09793034410723</v>
      </c>
      <c r="T33" s="479">
        <f>T32*(1+'Fayette County Statistics'!$L$5)</f>
        <v>17082.866809135969</v>
      </c>
      <c r="U33" s="479">
        <f>U32*(1+'Fayette County Statistics'!$L$5)</f>
        <v>12767.909665061979</v>
      </c>
      <c r="V33" s="479">
        <f>V32*(1+'Fayette County Statistics'!$L$5)</f>
        <v>7261.7881003664925</v>
      </c>
      <c r="W33" s="544">
        <f>W32*(1+'Fayette County Statistics'!$L$5)</f>
        <v>261.42437161319361</v>
      </c>
      <c r="X33" s="544">
        <f t="shared" si="94"/>
        <v>290.1810524906449</v>
      </c>
      <c r="Y33" s="479">
        <f t="shared" si="6"/>
        <v>0</v>
      </c>
      <c r="Z33" s="479">
        <f t="shared" si="7"/>
        <v>103.35651298288661</v>
      </c>
      <c r="AA33" s="479">
        <f t="shared" si="8"/>
        <v>599.45620121675915</v>
      </c>
      <c r="AB33" s="479">
        <f t="shared" si="85"/>
        <v>0</v>
      </c>
      <c r="AC33" s="479">
        <f t="shared" si="86"/>
        <v>114.72572941100412</v>
      </c>
      <c r="AD33" s="479">
        <f t="shared" si="87"/>
        <v>665.39638335060249</v>
      </c>
      <c r="AE33" s="544">
        <f t="shared" si="9"/>
        <v>261.42437161319361</v>
      </c>
      <c r="AF33" s="544">
        <f t="shared" si="10"/>
        <v>364.78088459608023</v>
      </c>
      <c r="AG33" s="544">
        <f t="shared" si="11"/>
        <v>860.88057282995271</v>
      </c>
      <c r="AH33" s="544">
        <f t="shared" si="95"/>
        <v>290.1810524906449</v>
      </c>
      <c r="AI33" s="544">
        <f t="shared" si="96"/>
        <v>404.90678190164903</v>
      </c>
      <c r="AJ33" s="544">
        <f t="shared" si="97"/>
        <v>955.57743584124739</v>
      </c>
      <c r="AK33" s="479">
        <f>AK32*(1+'Fayette County Statistics'!$L$5)</f>
        <v>19305.783495022883</v>
      </c>
      <c r="AL33" s="479">
        <f>AL32*(1+'Fayette County Statistics'!$L$5)</f>
        <v>14738.454422387045</v>
      </c>
      <c r="AM33" s="479">
        <f>AM32*(1+'Fayette County Statistics'!$L$5)</f>
        <v>8804.0876904463603</v>
      </c>
      <c r="AN33" s="544">
        <f>AN32*(1+'Fayette County Statistics'!$L$5)</f>
        <v>202.4940168802662</v>
      </c>
      <c r="AO33" s="544">
        <f t="shared" si="98"/>
        <v>78.972666583303806</v>
      </c>
      <c r="AP33" s="479">
        <f t="shared" si="12"/>
        <v>0</v>
      </c>
      <c r="AQ33" s="479">
        <f t="shared" si="13"/>
        <v>99.45262106560142</v>
      </c>
      <c r="AR33" s="479">
        <f t="shared" si="14"/>
        <v>493.41876029485474</v>
      </c>
      <c r="AS33" s="479">
        <f t="shared" si="88"/>
        <v>0</v>
      </c>
      <c r="AT33" s="479">
        <f t="shared" si="89"/>
        <v>38.78652221558454</v>
      </c>
      <c r="AU33" s="479">
        <f t="shared" si="90"/>
        <v>192.43331651499329</v>
      </c>
      <c r="AV33" s="544">
        <f t="shared" si="15"/>
        <v>202.4940168802662</v>
      </c>
      <c r="AW33" s="544">
        <f t="shared" si="16"/>
        <v>301.94663794586762</v>
      </c>
      <c r="AX33" s="544">
        <f t="shared" si="17"/>
        <v>695.91277717512094</v>
      </c>
      <c r="AY33" s="544">
        <f t="shared" si="99"/>
        <v>78.972666583303806</v>
      </c>
      <c r="AZ33" s="544">
        <f t="shared" si="100"/>
        <v>117.75918879888835</v>
      </c>
      <c r="BA33" s="544">
        <f t="shared" si="101"/>
        <v>271.4059830982971</v>
      </c>
      <c r="BB33" s="479">
        <f t="shared" si="18"/>
        <v>42013.800455773817</v>
      </c>
      <c r="BC33" s="479">
        <f t="shared" si="19"/>
        <v>32307.31800240228</v>
      </c>
      <c r="BD33" s="479">
        <f t="shared" si="20"/>
        <v>18808.821359438196</v>
      </c>
      <c r="BE33" s="544">
        <f t="shared" si="21"/>
        <v>568.15032010122286</v>
      </c>
      <c r="BF33" s="544">
        <f t="shared" si="22"/>
        <v>570.32134707693149</v>
      </c>
      <c r="BG33" s="479">
        <f t="shared" si="23"/>
        <v>0</v>
      </c>
      <c r="BH33" s="479">
        <f t="shared" si="24"/>
        <v>242.85933602985369</v>
      </c>
      <c r="BI33" s="479">
        <f t="shared" si="25"/>
        <v>1330.1445482168597</v>
      </c>
      <c r="BJ33" s="479">
        <f t="shared" si="26"/>
        <v>0</v>
      </c>
      <c r="BK33" s="479">
        <f t="shared" si="27"/>
        <v>230.80914145062437</v>
      </c>
      <c r="BL33" s="479">
        <f t="shared" si="28"/>
        <v>1315.7600022067202</v>
      </c>
      <c r="BM33" s="544">
        <f t="shared" si="29"/>
        <v>568.15032010122286</v>
      </c>
      <c r="BN33" s="544">
        <f t="shared" si="30"/>
        <v>811.00965613107655</v>
      </c>
      <c r="BO33" s="544">
        <f t="shared" si="31"/>
        <v>1898.2948683180825</v>
      </c>
      <c r="BP33" s="544">
        <f t="shared" si="32"/>
        <v>570.32134707693149</v>
      </c>
      <c r="BQ33" s="544">
        <f t="shared" si="33"/>
        <v>801.13048852755583</v>
      </c>
      <c r="BR33" s="544">
        <f t="shared" si="34"/>
        <v>1886.0813492836517</v>
      </c>
    </row>
    <row r="34" spans="2:70" x14ac:dyDescent="0.25">
      <c r="B34" s="486">
        <v>2045</v>
      </c>
      <c r="C34" s="479">
        <f>C33*(1+'Fayette County Statistics'!$L$5)</f>
        <v>5688.1538916645586</v>
      </c>
      <c r="D34" s="479">
        <f>D33*(1+'Fayette County Statistics'!$L$5)</f>
        <v>4854.7263555628515</v>
      </c>
      <c r="E34" s="479">
        <f>E33*(1+'Fayette County Statistics'!$L$5)</f>
        <v>2773.6675626909127</v>
      </c>
      <c r="F34" s="544">
        <f>F33*(1+'Fayette County Statistics'!$L$5)</f>
        <v>105.39936738225468</v>
      </c>
      <c r="G34" s="544">
        <f t="shared" si="91"/>
        <v>203.42077904775155</v>
      </c>
      <c r="H34" s="479">
        <f t="shared" si="0"/>
        <v>0</v>
      </c>
      <c r="I34" s="479">
        <f t="shared" si="1"/>
        <v>40.498778898702327</v>
      </c>
      <c r="J34" s="479">
        <f t="shared" si="2"/>
        <v>239.92709289788644</v>
      </c>
      <c r="K34" s="479">
        <f t="shared" si="82"/>
        <v>0</v>
      </c>
      <c r="L34" s="479">
        <f t="shared" si="83"/>
        <v>78.16264327449548</v>
      </c>
      <c r="M34" s="479">
        <f t="shared" si="84"/>
        <v>463.05928929292088</v>
      </c>
      <c r="N34" s="544">
        <f t="shared" si="3"/>
        <v>105.39936738225468</v>
      </c>
      <c r="O34" s="544">
        <f t="shared" si="4"/>
        <v>145.89814628095701</v>
      </c>
      <c r="P34" s="544">
        <f t="shared" si="5"/>
        <v>345.32646028014113</v>
      </c>
      <c r="Q34" s="544">
        <f t="shared" si="102"/>
        <v>203.42077904775155</v>
      </c>
      <c r="R34" s="544">
        <f t="shared" si="92"/>
        <v>281.58342232224703</v>
      </c>
      <c r="S34" s="544">
        <f t="shared" si="93"/>
        <v>666.48006834067246</v>
      </c>
      <c r="T34" s="479">
        <f>T33*(1+'Fayette County Statistics'!$L$5)</f>
        <v>17274.201168350461</v>
      </c>
      <c r="U34" s="479">
        <f>U33*(1+'Fayette County Statistics'!$L$5)</f>
        <v>12910.914925336365</v>
      </c>
      <c r="V34" s="479">
        <f>V33*(1+'Fayette County Statistics'!$L$5)</f>
        <v>7343.1227843196548</v>
      </c>
      <c r="W34" s="544">
        <f>W33*(1+'Fayette County Statistics'!$L$5)</f>
        <v>264.35242023550745</v>
      </c>
      <c r="X34" s="544">
        <f t="shared" si="94"/>
        <v>293.43118646141323</v>
      </c>
      <c r="Y34" s="479">
        <f t="shared" si="6"/>
        <v>0</v>
      </c>
      <c r="Z34" s="479">
        <f t="shared" si="7"/>
        <v>104.51414374844694</v>
      </c>
      <c r="AA34" s="479">
        <f t="shared" si="8"/>
        <v>606.1703300230331</v>
      </c>
      <c r="AB34" s="479">
        <f t="shared" si="85"/>
        <v>0</v>
      </c>
      <c r="AC34" s="479">
        <f t="shared" si="86"/>
        <v>116.01069956077612</v>
      </c>
      <c r="AD34" s="479">
        <f t="shared" si="87"/>
        <v>672.84906632556658</v>
      </c>
      <c r="AE34" s="544">
        <f t="shared" si="9"/>
        <v>264.35242023550745</v>
      </c>
      <c r="AF34" s="544">
        <f t="shared" si="10"/>
        <v>368.86656398395439</v>
      </c>
      <c r="AG34" s="544">
        <f t="shared" si="11"/>
        <v>870.52275025854055</v>
      </c>
      <c r="AH34" s="544">
        <f t="shared" si="95"/>
        <v>293.43118646141323</v>
      </c>
      <c r="AI34" s="544">
        <f t="shared" si="96"/>
        <v>409.44188602218935</v>
      </c>
      <c r="AJ34" s="544">
        <f t="shared" si="97"/>
        <v>966.28025278697987</v>
      </c>
      <c r="AK34" s="479">
        <f>AK33*(1+'Fayette County Statistics'!$L$5)</f>
        <v>19522.015334527619</v>
      </c>
      <c r="AL34" s="479">
        <f>AL33*(1+'Fayette County Statistics'!$L$5)</f>
        <v>14903.530505004002</v>
      </c>
      <c r="AM34" s="479">
        <f>AM33*(1+'Fayette County Statistics'!$L$5)</f>
        <v>8902.6966941657392</v>
      </c>
      <c r="AN34" s="544">
        <f>AN33*(1+'Fayette County Statistics'!$L$5)</f>
        <v>204.76202396581192</v>
      </c>
      <c r="AO34" s="544">
        <f t="shared" si="98"/>
        <v>79.85718934666663</v>
      </c>
      <c r="AP34" s="479">
        <f t="shared" si="12"/>
        <v>0</v>
      </c>
      <c r="AQ34" s="479">
        <f t="shared" si="13"/>
        <v>100.56652681317837</v>
      </c>
      <c r="AR34" s="479">
        <f t="shared" si="14"/>
        <v>498.94523096164784</v>
      </c>
      <c r="AS34" s="479">
        <f t="shared" si="88"/>
        <v>0</v>
      </c>
      <c r="AT34" s="479">
        <f t="shared" si="89"/>
        <v>39.22094545713955</v>
      </c>
      <c r="AU34" s="479">
        <f t="shared" si="90"/>
        <v>194.58864007504258</v>
      </c>
      <c r="AV34" s="544">
        <f t="shared" si="15"/>
        <v>204.76202396581192</v>
      </c>
      <c r="AW34" s="544">
        <f t="shared" si="16"/>
        <v>305.32855077899029</v>
      </c>
      <c r="AX34" s="544">
        <f t="shared" si="17"/>
        <v>703.70725492745976</v>
      </c>
      <c r="AY34" s="544">
        <f t="shared" si="99"/>
        <v>79.85718934666663</v>
      </c>
      <c r="AZ34" s="544">
        <f t="shared" si="100"/>
        <v>119.07813480380618</v>
      </c>
      <c r="BA34" s="544">
        <f t="shared" si="101"/>
        <v>274.44582942170922</v>
      </c>
      <c r="BB34" s="479">
        <f t="shared" si="18"/>
        <v>42484.370394542639</v>
      </c>
      <c r="BC34" s="479">
        <f t="shared" si="19"/>
        <v>32669.171785903221</v>
      </c>
      <c r="BD34" s="479">
        <f t="shared" si="20"/>
        <v>19019.487041176304</v>
      </c>
      <c r="BE34" s="544">
        <f t="shared" si="21"/>
        <v>574.51381158357412</v>
      </c>
      <c r="BF34" s="544">
        <f t="shared" si="22"/>
        <v>576.70915485583134</v>
      </c>
      <c r="BG34" s="479">
        <f t="shared" si="23"/>
        <v>0</v>
      </c>
      <c r="BH34" s="479">
        <f t="shared" si="24"/>
        <v>245.57944946032762</v>
      </c>
      <c r="BI34" s="479">
        <f t="shared" si="25"/>
        <v>1345.0426538825675</v>
      </c>
      <c r="BJ34" s="479">
        <f t="shared" si="26"/>
        <v>0</v>
      </c>
      <c r="BK34" s="479">
        <f t="shared" si="27"/>
        <v>233.39428829241115</v>
      </c>
      <c r="BL34" s="479">
        <f t="shared" si="28"/>
        <v>1330.4969956935299</v>
      </c>
      <c r="BM34" s="544">
        <f t="shared" si="29"/>
        <v>574.51381158357412</v>
      </c>
      <c r="BN34" s="544">
        <f t="shared" si="30"/>
        <v>820.09326104390175</v>
      </c>
      <c r="BO34" s="544">
        <f t="shared" si="31"/>
        <v>1919.5564654661416</v>
      </c>
      <c r="BP34" s="544">
        <f t="shared" si="32"/>
        <v>576.70915485583134</v>
      </c>
      <c r="BQ34" s="544">
        <f t="shared" si="33"/>
        <v>810.10344314824249</v>
      </c>
      <c r="BR34" s="544">
        <f t="shared" si="34"/>
        <v>1907.2061505493616</v>
      </c>
    </row>
    <row r="35" spans="2:70" x14ac:dyDescent="0.25">
      <c r="B35" s="486">
        <v>2046</v>
      </c>
      <c r="C35" s="479">
        <f>C34*(1+'Fayette County Statistics'!$L$5)</f>
        <v>5751.8632966569921</v>
      </c>
      <c r="D35" s="479">
        <f>D34*(1+'Fayette County Statistics'!$L$5)</f>
        <v>4909.101067183652</v>
      </c>
      <c r="E35" s="479">
        <f>E34*(1+'Fayette County Statistics'!$L$5)</f>
        <v>2804.7336543317879</v>
      </c>
      <c r="F35" s="544">
        <f>F34*(1+'Fayette County Statistics'!$L$5)</f>
        <v>106.57987886460795</v>
      </c>
      <c r="G35" s="544">
        <f t="shared" si="91"/>
        <v>205.69916620869336</v>
      </c>
      <c r="H35" s="479">
        <f t="shared" si="0"/>
        <v>0</v>
      </c>
      <c r="I35" s="479">
        <f t="shared" si="1"/>
        <v>40.952380041656184</v>
      </c>
      <c r="J35" s="479">
        <f t="shared" si="2"/>
        <v>242.6143641323178</v>
      </c>
      <c r="K35" s="479">
        <f t="shared" si="82"/>
        <v>0</v>
      </c>
      <c r="L35" s="479">
        <f t="shared" si="83"/>
        <v>79.038093480396441</v>
      </c>
      <c r="M35" s="479">
        <f t="shared" si="84"/>
        <v>468.24572277537345</v>
      </c>
      <c r="N35" s="544">
        <f t="shared" si="3"/>
        <v>106.57987886460795</v>
      </c>
      <c r="O35" s="544">
        <f t="shared" si="4"/>
        <v>147.53225890626413</v>
      </c>
      <c r="P35" s="544">
        <f t="shared" si="5"/>
        <v>349.19424299692577</v>
      </c>
      <c r="Q35" s="544">
        <f t="shared" si="102"/>
        <v>205.69916620869336</v>
      </c>
      <c r="R35" s="544">
        <f t="shared" si="92"/>
        <v>284.7372596890898</v>
      </c>
      <c r="S35" s="544">
        <f t="shared" si="93"/>
        <v>673.94488898406678</v>
      </c>
      <c r="T35" s="479">
        <f>T34*(1+'Fayette County Statistics'!$L$5)</f>
        <v>17467.678542401107</v>
      </c>
      <c r="U35" s="479">
        <f>U34*(1+'Fayette County Statistics'!$L$5)</f>
        <v>13055.521896854219</v>
      </c>
      <c r="V35" s="479">
        <f>V34*(1+'Fayette County Statistics'!$L$5)</f>
        <v>7425.3684464950302</v>
      </c>
      <c r="W35" s="544">
        <f>W34*(1+'Fayette County Statistics'!$L$5)</f>
        <v>267.31326407382096</v>
      </c>
      <c r="X35" s="544">
        <f t="shared" si="94"/>
        <v>296.71772312194122</v>
      </c>
      <c r="Y35" s="479">
        <f t="shared" si="6"/>
        <v>0</v>
      </c>
      <c r="Z35" s="479">
        <f t="shared" si="7"/>
        <v>105.68474040218103</v>
      </c>
      <c r="AA35" s="479">
        <f t="shared" si="8"/>
        <v>612.95965952876725</v>
      </c>
      <c r="AB35" s="479">
        <f t="shared" si="85"/>
        <v>0</v>
      </c>
      <c r="AC35" s="479">
        <f t="shared" si="86"/>
        <v>117.31006184642092</v>
      </c>
      <c r="AD35" s="479">
        <f t="shared" si="87"/>
        <v>680.38522207693154</v>
      </c>
      <c r="AE35" s="544">
        <f t="shared" si="9"/>
        <v>267.31326407382096</v>
      </c>
      <c r="AF35" s="544">
        <f t="shared" si="10"/>
        <v>372.998004476002</v>
      </c>
      <c r="AG35" s="544">
        <f t="shared" si="11"/>
        <v>880.27292360258821</v>
      </c>
      <c r="AH35" s="544">
        <f t="shared" si="95"/>
        <v>296.71772312194122</v>
      </c>
      <c r="AI35" s="544">
        <f t="shared" si="96"/>
        <v>414.02778496836214</v>
      </c>
      <c r="AJ35" s="544">
        <f t="shared" si="97"/>
        <v>977.10294519887282</v>
      </c>
      <c r="AK35" s="479">
        <f>AK34*(1+'Fayette County Statistics'!$L$5)</f>
        <v>19740.669049758231</v>
      </c>
      <c r="AL35" s="479">
        <f>AL34*(1+'Fayette County Statistics'!$L$5)</f>
        <v>15070.455500150809</v>
      </c>
      <c r="AM35" s="479">
        <f>AM34*(1+'Fayette County Statistics'!$L$5)</f>
        <v>9002.4101548097206</v>
      </c>
      <c r="AN35" s="544">
        <f>AN34*(1+'Fayette County Statistics'!$L$5)</f>
        <v>207.0554335606235</v>
      </c>
      <c r="AO35" s="544">
        <f t="shared" si="98"/>
        <v>80.751619088643139</v>
      </c>
      <c r="AP35" s="479">
        <f t="shared" si="12"/>
        <v>0</v>
      </c>
      <c r="AQ35" s="479">
        <f t="shared" si="13"/>
        <v>101.69290871272796</v>
      </c>
      <c r="AR35" s="479">
        <f t="shared" si="14"/>
        <v>504.53360012215188</v>
      </c>
      <c r="AS35" s="479">
        <f t="shared" si="88"/>
        <v>0</v>
      </c>
      <c r="AT35" s="479">
        <f t="shared" si="89"/>
        <v>39.660234397963904</v>
      </c>
      <c r="AU35" s="479">
        <f t="shared" si="90"/>
        <v>196.76810404763918</v>
      </c>
      <c r="AV35" s="544">
        <f t="shared" si="15"/>
        <v>207.0554335606235</v>
      </c>
      <c r="AW35" s="544">
        <f t="shared" si="16"/>
        <v>308.74834227335145</v>
      </c>
      <c r="AX35" s="544">
        <f t="shared" si="17"/>
        <v>711.58903368277538</v>
      </c>
      <c r="AY35" s="544">
        <f t="shared" si="99"/>
        <v>80.751619088643139</v>
      </c>
      <c r="AZ35" s="544">
        <f t="shared" si="100"/>
        <v>120.41185348660704</v>
      </c>
      <c r="BA35" s="544">
        <f t="shared" si="101"/>
        <v>277.51972313628232</v>
      </c>
      <c r="BB35" s="479">
        <f t="shared" si="18"/>
        <v>42960.210888816335</v>
      </c>
      <c r="BC35" s="479">
        <f t="shared" si="19"/>
        <v>33035.078464188686</v>
      </c>
      <c r="BD35" s="479">
        <f t="shared" si="20"/>
        <v>19232.512255636539</v>
      </c>
      <c r="BE35" s="544">
        <f t="shared" si="21"/>
        <v>580.94857649905248</v>
      </c>
      <c r="BF35" s="544">
        <f t="shared" si="22"/>
        <v>583.16850841927771</v>
      </c>
      <c r="BG35" s="479">
        <f t="shared" si="23"/>
        <v>0</v>
      </c>
      <c r="BH35" s="479">
        <f t="shared" si="24"/>
        <v>248.33002915656516</v>
      </c>
      <c r="BI35" s="479">
        <f t="shared" si="25"/>
        <v>1360.1076237832369</v>
      </c>
      <c r="BJ35" s="479">
        <f t="shared" si="26"/>
        <v>0</v>
      </c>
      <c r="BK35" s="479">
        <f t="shared" si="27"/>
        <v>236.00838972478127</v>
      </c>
      <c r="BL35" s="479">
        <f t="shared" si="28"/>
        <v>1345.3990488999441</v>
      </c>
      <c r="BM35" s="544">
        <f t="shared" si="29"/>
        <v>580.94857649905248</v>
      </c>
      <c r="BN35" s="544">
        <f t="shared" si="30"/>
        <v>829.27860565561764</v>
      </c>
      <c r="BO35" s="544">
        <f t="shared" si="31"/>
        <v>1941.0562002822894</v>
      </c>
      <c r="BP35" s="544">
        <f t="shared" si="32"/>
        <v>583.16850841927771</v>
      </c>
      <c r="BQ35" s="544">
        <f t="shared" si="33"/>
        <v>819.1768981440589</v>
      </c>
      <c r="BR35" s="544">
        <f t="shared" si="34"/>
        <v>1928.567557319222</v>
      </c>
    </row>
    <row r="36" spans="2:70" x14ac:dyDescent="0.25">
      <c r="B36" s="486">
        <v>2047</v>
      </c>
      <c r="C36" s="479">
        <f>C35*(1+'Fayette County Statistics'!$L$5)</f>
        <v>5816.2862702978482</v>
      </c>
      <c r="D36" s="479">
        <f>D35*(1+'Fayette County Statistics'!$L$5)</f>
        <v>4964.0847954713672</v>
      </c>
      <c r="E36" s="479">
        <f>E35*(1+'Fayette County Statistics'!$L$5)</f>
        <v>2836.147697566726</v>
      </c>
      <c r="F36" s="544">
        <f>F35*(1+'Fayette County Statistics'!$L$5)</f>
        <v>107.7736125075356</v>
      </c>
      <c r="G36" s="544">
        <f t="shared" si="91"/>
        <v>208.00307213954372</v>
      </c>
      <c r="H36" s="479">
        <f t="shared" si="0"/>
        <v>0</v>
      </c>
      <c r="I36" s="479">
        <f t="shared" si="1"/>
        <v>41.411061683392575</v>
      </c>
      <c r="J36" s="479">
        <f t="shared" si="2"/>
        <v>245.33173378789937</v>
      </c>
      <c r="K36" s="479">
        <f t="shared" si="82"/>
        <v>0</v>
      </c>
      <c r="L36" s="479">
        <f t="shared" si="83"/>
        <v>79.923349048947699</v>
      </c>
      <c r="M36" s="479">
        <f t="shared" si="84"/>
        <v>473.49024621064575</v>
      </c>
      <c r="N36" s="544">
        <f t="shared" si="3"/>
        <v>107.7736125075356</v>
      </c>
      <c r="O36" s="544">
        <f t="shared" si="4"/>
        <v>149.18467419092818</v>
      </c>
      <c r="P36" s="544">
        <f t="shared" si="5"/>
        <v>353.10534629543497</v>
      </c>
      <c r="Q36" s="544">
        <f t="shared" si="102"/>
        <v>208.00307213954372</v>
      </c>
      <c r="R36" s="544">
        <f t="shared" si="92"/>
        <v>287.92642118849142</v>
      </c>
      <c r="S36" s="544">
        <f t="shared" si="93"/>
        <v>681.4933183501895</v>
      </c>
      <c r="T36" s="479">
        <f>T35*(1+'Fayette County Statistics'!$L$5)</f>
        <v>17663.322933838241</v>
      </c>
      <c r="U36" s="479">
        <f>U35*(1+'Fayette County Statistics'!$L$5)</f>
        <v>13201.748519367569</v>
      </c>
      <c r="V36" s="479">
        <f>V35*(1+'Fayette County Statistics'!$L$5)</f>
        <v>7508.5352901820524</v>
      </c>
      <c r="W36" s="544">
        <f>W35*(1+'Fayette County Statistics'!$L$5)</f>
        <v>270.30727044655373</v>
      </c>
      <c r="X36" s="544">
        <f t="shared" si="94"/>
        <v>300.04107019567459</v>
      </c>
      <c r="Y36" s="479">
        <f t="shared" si="6"/>
        <v>0</v>
      </c>
      <c r="Z36" s="479">
        <f t="shared" si="7"/>
        <v>106.86844816678104</v>
      </c>
      <c r="AA36" s="479">
        <f t="shared" si="8"/>
        <v>619.82503200931285</v>
      </c>
      <c r="AB36" s="479">
        <f t="shared" si="85"/>
        <v>0</v>
      </c>
      <c r="AC36" s="479">
        <f t="shared" si="86"/>
        <v>118.62397746512693</v>
      </c>
      <c r="AD36" s="479">
        <f t="shared" si="87"/>
        <v>688.00578553033722</v>
      </c>
      <c r="AE36" s="544">
        <f t="shared" si="9"/>
        <v>270.30727044655373</v>
      </c>
      <c r="AF36" s="544">
        <f t="shared" si="10"/>
        <v>377.17571861333477</v>
      </c>
      <c r="AG36" s="544">
        <f t="shared" si="11"/>
        <v>890.13230245586658</v>
      </c>
      <c r="AH36" s="544">
        <f t="shared" si="95"/>
        <v>300.04107019567459</v>
      </c>
      <c r="AI36" s="544">
        <f t="shared" si="96"/>
        <v>418.66504766080152</v>
      </c>
      <c r="AJ36" s="544">
        <f t="shared" si="97"/>
        <v>988.04685572601181</v>
      </c>
      <c r="AK36" s="479">
        <f>AK35*(1+'Fayette County Statistics'!$L$5)</f>
        <v>19961.771766609061</v>
      </c>
      <c r="AL36" s="479">
        <f>AL35*(1+'Fayette County Statistics'!$L$5)</f>
        <v>15239.250116324351</v>
      </c>
      <c r="AM36" s="479">
        <f>AM35*(1+'Fayette County Statistics'!$L$5)</f>
        <v>9103.2404427000038</v>
      </c>
      <c r="AN36" s="544">
        <f>AN35*(1+'Fayette County Statistics'!$L$5)</f>
        <v>209.37453018210002</v>
      </c>
      <c r="AO36" s="544">
        <f t="shared" si="98"/>
        <v>81.656066771018985</v>
      </c>
      <c r="AP36" s="479">
        <f t="shared" si="12"/>
        <v>0</v>
      </c>
      <c r="AQ36" s="479">
        <f t="shared" si="13"/>
        <v>102.83190650171738</v>
      </c>
      <c r="AR36" s="479">
        <f t="shared" si="14"/>
        <v>510.18456106214626</v>
      </c>
      <c r="AS36" s="479">
        <f t="shared" si="88"/>
        <v>0</v>
      </c>
      <c r="AT36" s="479">
        <f t="shared" si="89"/>
        <v>40.104443535669773</v>
      </c>
      <c r="AU36" s="479">
        <f t="shared" si="90"/>
        <v>198.97197881423699</v>
      </c>
      <c r="AV36" s="544">
        <f t="shared" si="15"/>
        <v>209.37453018210002</v>
      </c>
      <c r="AW36" s="544">
        <f t="shared" si="16"/>
        <v>312.2064366838174</v>
      </c>
      <c r="AX36" s="544">
        <f t="shared" si="17"/>
        <v>719.55909124424625</v>
      </c>
      <c r="AY36" s="544">
        <f t="shared" si="99"/>
        <v>81.656066771018985</v>
      </c>
      <c r="AZ36" s="544">
        <f t="shared" si="100"/>
        <v>121.76051030668876</v>
      </c>
      <c r="BA36" s="544">
        <f t="shared" si="101"/>
        <v>280.62804558525596</v>
      </c>
      <c r="BB36" s="479">
        <f t="shared" si="18"/>
        <v>43441.380970745151</v>
      </c>
      <c r="BC36" s="479">
        <f t="shared" si="19"/>
        <v>33405.083431163286</v>
      </c>
      <c r="BD36" s="479">
        <f t="shared" si="20"/>
        <v>19447.923430448784</v>
      </c>
      <c r="BE36" s="544">
        <f t="shared" si="21"/>
        <v>587.45541313618935</v>
      </c>
      <c r="BF36" s="544">
        <f t="shared" si="22"/>
        <v>589.70020910623737</v>
      </c>
      <c r="BG36" s="479">
        <f t="shared" si="23"/>
        <v>0</v>
      </c>
      <c r="BH36" s="479">
        <f t="shared" si="24"/>
        <v>251.11141635189099</v>
      </c>
      <c r="BI36" s="479">
        <f t="shared" si="25"/>
        <v>1375.3413268593586</v>
      </c>
      <c r="BJ36" s="479">
        <f t="shared" si="26"/>
        <v>0</v>
      </c>
      <c r="BK36" s="479">
        <f t="shared" si="27"/>
        <v>238.65177004974441</v>
      </c>
      <c r="BL36" s="479">
        <f t="shared" si="28"/>
        <v>1360.46801055522</v>
      </c>
      <c r="BM36" s="544">
        <f t="shared" si="29"/>
        <v>587.45541313618935</v>
      </c>
      <c r="BN36" s="544">
        <f t="shared" si="30"/>
        <v>838.56682948808032</v>
      </c>
      <c r="BO36" s="544">
        <f t="shared" si="31"/>
        <v>1962.7967399955478</v>
      </c>
      <c r="BP36" s="544">
        <f t="shared" si="32"/>
        <v>589.70020910623737</v>
      </c>
      <c r="BQ36" s="544">
        <f t="shared" si="33"/>
        <v>828.35197915598167</v>
      </c>
      <c r="BR36" s="544">
        <f t="shared" si="34"/>
        <v>1950.1682196614572</v>
      </c>
    </row>
    <row r="37" spans="2:70" x14ac:dyDescent="0.25">
      <c r="B37" s="486">
        <v>2048</v>
      </c>
      <c r="C37" s="479">
        <f>C36*(1+'Fayette County Statistics'!$L$5)</f>
        <v>5881.4308048170969</v>
      </c>
      <c r="D37" s="479">
        <f>D36*(1+'Fayette County Statistics'!$L$5)</f>
        <v>5019.6843616355172</v>
      </c>
      <c r="E37" s="479">
        <f>E36*(1+'Fayette County Statistics'!$L$5)</f>
        <v>2867.9135895809031</v>
      </c>
      <c r="F37" s="544">
        <f>F36*(1+'Fayette County Statistics'!$L$5)</f>
        <v>108.98071640407433</v>
      </c>
      <c r="G37" s="544">
        <f t="shared" si="91"/>
        <v>210.33278265986348</v>
      </c>
      <c r="H37" s="479">
        <f t="shared" ref="H37:H38" si="103">N37-F37</f>
        <v>0</v>
      </c>
      <c r="I37" s="479">
        <f t="shared" ref="I37:I38" si="104">O37-F37</f>
        <v>41.874880727356938</v>
      </c>
      <c r="J37" s="479">
        <f t="shared" ref="J37:J38" si="105">P37-F37</f>
        <v>248.07953897796176</v>
      </c>
      <c r="K37" s="479">
        <f t="shared" ref="K37:K38" si="106">Q37-G37</f>
        <v>0</v>
      </c>
      <c r="L37" s="479">
        <f t="shared" ref="L37:L38" si="107">R37-G37</f>
        <v>80.818519803798893</v>
      </c>
      <c r="M37" s="479">
        <f t="shared" ref="M37:M38" si="108">S37-G37</f>
        <v>478.79351022746619</v>
      </c>
      <c r="N37" s="544">
        <f t="shared" si="3"/>
        <v>108.98071640407433</v>
      </c>
      <c r="O37" s="544">
        <f t="shared" si="4"/>
        <v>150.85559713143127</v>
      </c>
      <c r="P37" s="544">
        <f t="shared" si="5"/>
        <v>357.06025538203608</v>
      </c>
      <c r="Q37" s="544">
        <f t="shared" si="102"/>
        <v>210.33278265986348</v>
      </c>
      <c r="R37" s="544">
        <f t="shared" si="92"/>
        <v>291.15130246366238</v>
      </c>
      <c r="S37" s="544">
        <f t="shared" si="93"/>
        <v>689.12629288732967</v>
      </c>
      <c r="T37" s="479">
        <f>T36*(1+'Fayette County Statistics'!$L$5)</f>
        <v>17861.158614049546</v>
      </c>
      <c r="U37" s="479">
        <f>U36*(1+'Fayette County Statistics'!$L$5)</f>
        <v>13349.612933560225</v>
      </c>
      <c r="V37" s="479">
        <f>V36*(1+'Fayette County Statistics'!$L$5)</f>
        <v>7592.6336329507294</v>
      </c>
      <c r="W37" s="544">
        <f>W36*(1+'Fayette County Statistics'!$L$5)</f>
        <v>273.33481078622611</v>
      </c>
      <c r="X37" s="544">
        <f t="shared" si="94"/>
        <v>303.40163997271094</v>
      </c>
      <c r="Y37" s="479">
        <f t="shared" ref="Y37:Y38" si="109">AE37-W37</f>
        <v>0</v>
      </c>
      <c r="Z37" s="479">
        <f t="shared" ref="Z37:Z38" si="110">AF37-W37</f>
        <v>108.06541389148612</v>
      </c>
      <c r="AA37" s="479">
        <f t="shared" ref="AA37:AA38" si="111">AG37-W37</f>
        <v>626.76729917381363</v>
      </c>
      <c r="AB37" s="479">
        <f t="shared" ref="AB37:AB38" si="112">AH37-X37</f>
        <v>0</v>
      </c>
      <c r="AC37" s="479">
        <f t="shared" ref="AC37:AC38" si="113">AI37-X37</f>
        <v>119.95260941954962</v>
      </c>
      <c r="AD37" s="479">
        <f t="shared" ref="AD37:AD38" si="114">AJ37-X37</f>
        <v>695.71170208293302</v>
      </c>
      <c r="AE37" s="544">
        <f t="shared" si="9"/>
        <v>273.33481078622611</v>
      </c>
      <c r="AF37" s="544">
        <f t="shared" si="10"/>
        <v>381.40022467771223</v>
      </c>
      <c r="AG37" s="544">
        <f t="shared" si="11"/>
        <v>900.10210996003968</v>
      </c>
      <c r="AH37" s="544">
        <f t="shared" si="95"/>
        <v>303.40163997271094</v>
      </c>
      <c r="AI37" s="544">
        <f t="shared" si="96"/>
        <v>423.35424939226056</v>
      </c>
      <c r="AJ37" s="544">
        <f t="shared" si="97"/>
        <v>999.1133420556439</v>
      </c>
      <c r="AK37" s="479">
        <f>AK36*(1+'Fayette County Statistics'!$L$5)</f>
        <v>20185.350914794391</v>
      </c>
      <c r="AL37" s="479">
        <f>AL36*(1+'Fayette County Statistics'!$L$5)</f>
        <v>15409.935293964259</v>
      </c>
      <c r="AM37" s="479">
        <f>AM36*(1+'Fayette County Statistics'!$L$5)</f>
        <v>9205.2000667104148</v>
      </c>
      <c r="AN37" s="544">
        <f>AN36*(1+'Fayette County Statistics'!$L$5)</f>
        <v>211.71960153433949</v>
      </c>
      <c r="AO37" s="544">
        <f t="shared" si="98"/>
        <v>82.570644598392377</v>
      </c>
      <c r="AP37" s="479">
        <f t="shared" ref="AP37:AP38" si="115">AV37-AN37</f>
        <v>0</v>
      </c>
      <c r="AQ37" s="479">
        <f t="shared" ref="AQ37:AQ38" si="116">AW37-AN37</f>
        <v>103.9836614827249</v>
      </c>
      <c r="AR37" s="479">
        <f t="shared" ref="AR37:AR38" si="117">AX37-AN37</f>
        <v>515.8988148324645</v>
      </c>
      <c r="AS37" s="479">
        <f t="shared" ref="AS37:AS38" si="118">AY37-AO37</f>
        <v>0</v>
      </c>
      <c r="AT37" s="479">
        <f t="shared" ref="AT37:AT38" si="119">AZ37-AO37</f>
        <v>40.553627978262696</v>
      </c>
      <c r="AU37" s="479">
        <f t="shared" ref="AU37:AU38" si="120">BA37-AO37</f>
        <v>201.20053778466109</v>
      </c>
      <c r="AV37" s="544">
        <f t="shared" si="15"/>
        <v>211.71960153433949</v>
      </c>
      <c r="AW37" s="544">
        <f t="shared" si="16"/>
        <v>315.70326301706439</v>
      </c>
      <c r="AX37" s="544">
        <f t="shared" si="17"/>
        <v>727.61841636680401</v>
      </c>
      <c r="AY37" s="544">
        <f t="shared" si="99"/>
        <v>82.570644598392377</v>
      </c>
      <c r="AZ37" s="544">
        <f t="shared" si="100"/>
        <v>123.12427257665507</v>
      </c>
      <c r="BA37" s="544">
        <f t="shared" si="101"/>
        <v>283.77118238305349</v>
      </c>
      <c r="BB37" s="479">
        <f t="shared" si="18"/>
        <v>43927.940333661034</v>
      </c>
      <c r="BC37" s="479">
        <f t="shared" si="19"/>
        <v>33779.232589160005</v>
      </c>
      <c r="BD37" s="479">
        <f t="shared" si="20"/>
        <v>19665.747289242048</v>
      </c>
      <c r="BE37" s="544">
        <f t="shared" si="21"/>
        <v>594.03512872463989</v>
      </c>
      <c r="BF37" s="544">
        <f t="shared" si="22"/>
        <v>596.30506723096687</v>
      </c>
      <c r="BG37" s="479">
        <f t="shared" si="23"/>
        <v>0</v>
      </c>
      <c r="BH37" s="479">
        <f t="shared" si="24"/>
        <v>253.92395610156794</v>
      </c>
      <c r="BI37" s="479">
        <f t="shared" si="25"/>
        <v>1390.7456529842398</v>
      </c>
      <c r="BJ37" s="479">
        <f t="shared" si="26"/>
        <v>0</v>
      </c>
      <c r="BK37" s="479">
        <f t="shared" si="27"/>
        <v>241.32475720161119</v>
      </c>
      <c r="BL37" s="479">
        <f t="shared" si="28"/>
        <v>1375.7057500950602</v>
      </c>
      <c r="BM37" s="544">
        <f t="shared" si="29"/>
        <v>594.03512872463989</v>
      </c>
      <c r="BN37" s="544">
        <f t="shared" si="30"/>
        <v>847.95908482620791</v>
      </c>
      <c r="BO37" s="544">
        <f t="shared" si="31"/>
        <v>1984.7807817088797</v>
      </c>
      <c r="BP37" s="544">
        <f t="shared" si="32"/>
        <v>596.30506723096687</v>
      </c>
      <c r="BQ37" s="544">
        <f t="shared" si="33"/>
        <v>837.62982443257806</v>
      </c>
      <c r="BR37" s="544">
        <f t="shared" si="34"/>
        <v>1972.0108173260271</v>
      </c>
    </row>
    <row r="38" spans="2:70" s="590" customFormat="1" x14ac:dyDescent="0.25">
      <c r="B38" s="588">
        <v>2049</v>
      </c>
      <c r="C38" s="589">
        <f>C37*(1+'Fayette County Statistics'!$L$5)</f>
        <v>5947.3049819606094</v>
      </c>
      <c r="D38" s="589">
        <f>D37*(1+'Fayette County Statistics'!$L$5)</f>
        <v>5075.9066632856648</v>
      </c>
      <c r="E38" s="589">
        <f>E37*(1+'Fayette County Statistics'!$L$5)</f>
        <v>2900.035271209395</v>
      </c>
      <c r="F38" s="589">
        <f>F37*(1+'Fayette County Statistics'!$L$5)</f>
        <v>110.20134030595702</v>
      </c>
      <c r="G38" s="589">
        <f t="shared" si="91"/>
        <v>212.68858679049706</v>
      </c>
      <c r="H38" s="589">
        <f t="shared" si="103"/>
        <v>0</v>
      </c>
      <c r="I38" s="589">
        <f t="shared" si="104"/>
        <v>42.343894714334056</v>
      </c>
      <c r="J38" s="589">
        <f t="shared" si="105"/>
        <v>250.85812059162802</v>
      </c>
      <c r="K38" s="589">
        <f t="shared" si="106"/>
        <v>0</v>
      </c>
      <c r="L38" s="589">
        <f t="shared" si="107"/>
        <v>81.723716798664753</v>
      </c>
      <c r="M38" s="589">
        <f t="shared" si="108"/>
        <v>484.15617274184206</v>
      </c>
      <c r="N38" s="589">
        <f t="shared" si="3"/>
        <v>110.20134030595702</v>
      </c>
      <c r="O38" s="589">
        <f t="shared" si="4"/>
        <v>152.54523502029107</v>
      </c>
      <c r="P38" s="589">
        <f t="shared" si="5"/>
        <v>361.05946089758504</v>
      </c>
      <c r="Q38" s="589">
        <f t="shared" si="102"/>
        <v>212.68858679049706</v>
      </c>
      <c r="R38" s="589">
        <f t="shared" si="92"/>
        <v>294.41230358916181</v>
      </c>
      <c r="S38" s="589">
        <f t="shared" si="93"/>
        <v>696.84475953233914</v>
      </c>
      <c r="T38" s="589">
        <f>T37*(1+'Fayette County Statistics'!$L$5)</f>
        <v>18061.210126271129</v>
      </c>
      <c r="U38" s="589">
        <f>U37*(1+'Fayette County Statistics'!$L$5)</f>
        <v>13499.133483298294</v>
      </c>
      <c r="V38" s="589">
        <f>V37*(1+'Fayette County Statistics'!$L$5)</f>
        <v>7677.6739079316294</v>
      </c>
      <c r="W38" s="589">
        <f>W37*(1+'Fayette County Statistics'!$L$5)</f>
        <v>276.39626068553855</v>
      </c>
      <c r="X38" s="589">
        <f t="shared" si="94"/>
        <v>306.79984936094775</v>
      </c>
      <c r="Y38" s="589">
        <f t="shared" si="109"/>
        <v>0</v>
      </c>
      <c r="Z38" s="589">
        <f t="shared" si="110"/>
        <v>109.27578607030085</v>
      </c>
      <c r="AA38" s="589">
        <f t="shared" si="111"/>
        <v>633.78732227086687</v>
      </c>
      <c r="AB38" s="589">
        <f t="shared" si="112"/>
        <v>0</v>
      </c>
      <c r="AC38" s="589">
        <f t="shared" si="113"/>
        <v>121.29612253803396</v>
      </c>
      <c r="AD38" s="589">
        <f t="shared" si="114"/>
        <v>703.5039277206622</v>
      </c>
      <c r="AE38" s="589">
        <f t="shared" si="9"/>
        <v>276.39626068553855</v>
      </c>
      <c r="AF38" s="589">
        <f t="shared" si="10"/>
        <v>385.6720467558394</v>
      </c>
      <c r="AG38" s="589">
        <f t="shared" si="11"/>
        <v>910.18358295640542</v>
      </c>
      <c r="AH38" s="589">
        <f t="shared" si="95"/>
        <v>306.79984936094775</v>
      </c>
      <c r="AI38" s="589">
        <f t="shared" si="96"/>
        <v>428.0959718989817</v>
      </c>
      <c r="AJ38" s="589">
        <f t="shared" si="97"/>
        <v>1010.30377708161</v>
      </c>
      <c r="AK38" s="589">
        <f>AK37*(1+'Fayette County Statistics'!$L$5)</f>
        <v>20411.434231251344</v>
      </c>
      <c r="AL38" s="589">
        <f>AL37*(1+'Fayette County Statistics'!$L$5)</f>
        <v>15582.53220805075</v>
      </c>
      <c r="AM38" s="589">
        <f>AM37*(1+'Fayette County Statistics'!$L$5)</f>
        <v>9308.3016758187459</v>
      </c>
      <c r="AN38" s="589">
        <f>AN37*(1+'Fayette County Statistics'!$L$5)</f>
        <v>214.0909385438311</v>
      </c>
      <c r="AO38" s="589">
        <f t="shared" si="98"/>
        <v>83.495466032094114</v>
      </c>
      <c r="AP38" s="589">
        <f t="shared" si="115"/>
        <v>0</v>
      </c>
      <c r="AQ38" s="589">
        <f t="shared" si="116"/>
        <v>105.14831654096923</v>
      </c>
      <c r="AR38" s="589">
        <f t="shared" si="117"/>
        <v>521.67707033596685</v>
      </c>
      <c r="AS38" s="589">
        <f t="shared" si="118"/>
        <v>0</v>
      </c>
      <c r="AT38" s="589">
        <f t="shared" si="119"/>
        <v>41.007843450977987</v>
      </c>
      <c r="AU38" s="589">
        <f t="shared" si="120"/>
        <v>203.45405743102702</v>
      </c>
      <c r="AV38" s="589">
        <f t="shared" si="15"/>
        <v>214.0909385438311</v>
      </c>
      <c r="AW38" s="589">
        <f t="shared" si="16"/>
        <v>319.23925508480033</v>
      </c>
      <c r="AX38" s="589">
        <f t="shared" si="17"/>
        <v>735.76800887979789</v>
      </c>
      <c r="AY38" s="589">
        <f t="shared" si="99"/>
        <v>83.495466032094114</v>
      </c>
      <c r="AZ38" s="589">
        <f t="shared" si="100"/>
        <v>124.5033094830721</v>
      </c>
      <c r="BA38" s="589">
        <f t="shared" si="101"/>
        <v>286.94952346312112</v>
      </c>
      <c r="BB38" s="589">
        <f t="shared" si="18"/>
        <v>44419.949339483079</v>
      </c>
      <c r="BC38" s="589">
        <f t="shared" si="19"/>
        <v>34157.572354634714</v>
      </c>
      <c r="BD38" s="589">
        <f t="shared" si="20"/>
        <v>19886.010854959772</v>
      </c>
      <c r="BE38" s="589">
        <f t="shared" si="21"/>
        <v>600.68853953532675</v>
      </c>
      <c r="BF38" s="589">
        <f t="shared" si="22"/>
        <v>602.98390218353893</v>
      </c>
      <c r="BG38" s="589">
        <f t="shared" si="23"/>
        <v>0</v>
      </c>
      <c r="BH38" s="589">
        <f t="shared" si="24"/>
        <v>256.76799732560414</v>
      </c>
      <c r="BI38" s="589">
        <f t="shared" si="25"/>
        <v>1406.3225131984618</v>
      </c>
      <c r="BJ38" s="589">
        <f t="shared" si="26"/>
        <v>0</v>
      </c>
      <c r="BK38" s="589">
        <f t="shared" si="27"/>
        <v>244.0276827876767</v>
      </c>
      <c r="BL38" s="589">
        <f t="shared" si="28"/>
        <v>1391.1141578935312</v>
      </c>
      <c r="BM38" s="589">
        <f t="shared" si="29"/>
        <v>600.68853953532675</v>
      </c>
      <c r="BN38" s="589">
        <f t="shared" si="30"/>
        <v>857.45653686093078</v>
      </c>
      <c r="BO38" s="589">
        <f t="shared" si="31"/>
        <v>2007.0110527337883</v>
      </c>
      <c r="BP38" s="589">
        <f t="shared" si="32"/>
        <v>602.98390218353893</v>
      </c>
      <c r="BQ38" s="589">
        <f t="shared" si="33"/>
        <v>847.0115849712156</v>
      </c>
      <c r="BR38" s="589">
        <f t="shared" si="34"/>
        <v>1994.0980600770702</v>
      </c>
    </row>
    <row r="39" spans="2:70" x14ac:dyDescent="0.25">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530"/>
      <c r="AO39" s="530"/>
      <c r="AP39" s="530"/>
      <c r="AQ39" s="491"/>
      <c r="AR39" s="491"/>
      <c r="AS39" s="491"/>
      <c r="AT39" s="491"/>
      <c r="AU39" s="491"/>
      <c r="AV39" s="491"/>
      <c r="AW39" s="491"/>
      <c r="AX39" s="491"/>
      <c r="AY39" s="491"/>
      <c r="AZ39" s="491"/>
      <c r="BA39" s="491"/>
      <c r="BB39" s="491"/>
      <c r="BC39" s="491"/>
      <c r="BD39" s="491"/>
      <c r="BE39" s="491"/>
      <c r="BF39" s="491"/>
      <c r="BG39" s="491"/>
      <c r="BH39" s="491"/>
      <c r="BI39" s="491"/>
      <c r="BJ39" s="491"/>
      <c r="BK39" s="491"/>
      <c r="BL39" s="491"/>
      <c r="BM39" s="491"/>
      <c r="BN39" s="491"/>
      <c r="BO39" s="491"/>
      <c r="BP39" s="491"/>
      <c r="BQ39" s="491"/>
      <c r="BR39" s="491"/>
    </row>
    <row r="40" spans="2:70" x14ac:dyDescent="0.25">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530"/>
      <c r="AO40" s="530"/>
      <c r="AP40" s="530"/>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491"/>
      <c r="BM40" s="491"/>
      <c r="BN40" s="491"/>
      <c r="BO40" s="491"/>
      <c r="BP40" s="491"/>
      <c r="BQ40" s="491"/>
      <c r="BR40" s="491"/>
    </row>
    <row r="41" spans="2:70" x14ac:dyDescent="0.25">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530"/>
      <c r="AO41" s="530"/>
      <c r="AP41" s="530"/>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491"/>
      <c r="BM41" s="491"/>
      <c r="BN41" s="491"/>
      <c r="BO41" s="491"/>
      <c r="BP41" s="491"/>
      <c r="BQ41" s="491"/>
      <c r="BR41" s="491"/>
    </row>
    <row r="42" spans="2:70" x14ac:dyDescent="0.25">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530"/>
      <c r="AO42" s="530"/>
      <c r="AP42" s="530"/>
      <c r="AQ42" s="491"/>
      <c r="AR42" s="491"/>
      <c r="AS42" s="491"/>
      <c r="AT42" s="491"/>
      <c r="AU42" s="491"/>
      <c r="AV42" s="491"/>
      <c r="AW42" s="491"/>
      <c r="AX42" s="491"/>
      <c r="AY42" s="491"/>
      <c r="AZ42" s="491"/>
      <c r="BA42" s="491"/>
      <c r="BB42" s="491"/>
      <c r="BC42" s="491"/>
      <c r="BD42" s="491"/>
      <c r="BE42" s="491"/>
      <c r="BF42" s="491"/>
      <c r="BG42" s="582"/>
      <c r="BH42" s="666"/>
      <c r="BI42" s="666"/>
      <c r="BJ42" s="666"/>
      <c r="BK42" s="666"/>
      <c r="BL42" s="666"/>
      <c r="BM42" s="666"/>
      <c r="BN42" s="666"/>
      <c r="BO42" s="491"/>
      <c r="BP42" s="491"/>
      <c r="BQ42" s="491"/>
      <c r="BR42" s="491"/>
    </row>
    <row r="43" spans="2:70" x14ac:dyDescent="0.25">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1"/>
      <c r="BD43" s="491"/>
      <c r="BE43" s="491"/>
      <c r="BF43" s="491"/>
      <c r="BG43" s="582"/>
      <c r="BH43" s="666"/>
      <c r="BI43" s="583"/>
      <c r="BJ43" s="583"/>
      <c r="BK43" s="583"/>
      <c r="BL43" s="583"/>
      <c r="BM43" s="583"/>
      <c r="BN43" s="583"/>
      <c r="BO43" s="491"/>
      <c r="BP43" s="491"/>
      <c r="BQ43" s="491"/>
      <c r="BR43" s="491"/>
    </row>
    <row r="44" spans="2:70" x14ac:dyDescent="0.25">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582"/>
      <c r="BH44" s="584"/>
      <c r="BI44" s="585"/>
      <c r="BJ44" s="585"/>
      <c r="BK44" s="586"/>
      <c r="BL44" s="585"/>
      <c r="BM44" s="585"/>
      <c r="BN44" s="586"/>
      <c r="BO44" s="491"/>
      <c r="BP44" s="491"/>
      <c r="BQ44" s="491"/>
      <c r="BR44" s="491"/>
    </row>
    <row r="45" spans="2:70" x14ac:dyDescent="0.25">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c r="BA45" s="491"/>
      <c r="BB45" s="491"/>
      <c r="BC45" s="491"/>
      <c r="BD45" s="491"/>
      <c r="BE45" s="491"/>
      <c r="BF45" s="491"/>
      <c r="BG45" s="582"/>
      <c r="BH45" s="584"/>
      <c r="BI45" s="585"/>
      <c r="BJ45" s="585"/>
      <c r="BK45" s="586"/>
      <c r="BL45" s="585"/>
      <c r="BM45" s="585"/>
      <c r="BN45" s="586"/>
      <c r="BO45" s="491"/>
      <c r="BP45" s="491"/>
      <c r="BQ45" s="491"/>
      <c r="BR45" s="491"/>
    </row>
  </sheetData>
  <sheetProtection password="891C" sheet="1" objects="1" scenarios="1"/>
  <mergeCells count="7">
    <mergeCell ref="C1:S1"/>
    <mergeCell ref="T1:AJ1"/>
    <mergeCell ref="AK1:BA1"/>
    <mergeCell ref="BB1:BR1"/>
    <mergeCell ref="BH42:BH43"/>
    <mergeCell ref="BI42:BK42"/>
    <mergeCell ref="BL42:BN4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Project Matrix</vt:lpstr>
      <vt:lpstr>BCA Summary</vt:lpstr>
      <vt:lpstr>0.25 Mile Population</vt:lpstr>
      <vt:lpstr>0.50 Mile Population </vt:lpstr>
      <vt:lpstr>1 Mile Population</vt:lpstr>
      <vt:lpstr>Fayette County Statistics</vt:lpstr>
      <vt:lpstr>Estimating Users Methodology</vt:lpstr>
      <vt:lpstr>Regional Trail Users</vt:lpstr>
      <vt:lpstr>Bicycle Users</vt:lpstr>
      <vt:lpstr>Pedestrian Users</vt:lpstr>
      <vt:lpstr>Inputs</vt:lpstr>
      <vt:lpstr>CPI</vt:lpstr>
      <vt:lpstr>SCC</vt:lpstr>
      <vt:lpstr>Reduced VMT</vt:lpstr>
      <vt:lpstr>Roadway Maintenance Savings</vt:lpstr>
      <vt:lpstr>Vehicle Cost Savings</vt:lpstr>
      <vt:lpstr>Reduced Fuel Consumption</vt:lpstr>
      <vt:lpstr>Congestion Savings</vt:lpstr>
      <vt:lpstr>Property Value Increases </vt:lpstr>
      <vt:lpstr>Recreational Benefits</vt:lpstr>
      <vt:lpstr>Mobility Benefits</vt:lpstr>
      <vt:lpstr>Health Benefits </vt:lpstr>
      <vt:lpstr>Reduced Emissions</vt:lpstr>
      <vt:lpstr>Stormwater Benefits</vt:lpstr>
      <vt:lpstr>Reduces Crashes</vt:lpstr>
      <vt:lpstr>Reduced Bike and Ped Crashes</vt:lpstr>
      <vt:lpstr>Reduced Vehicle Crashes</vt:lpstr>
      <vt:lpstr>Detailed Cost Estimate</vt:lpstr>
      <vt:lpstr>Costs</vt:lpstr>
      <vt:lpstr>0.25 Mi Zone Seperation</vt:lpstr>
      <vt:lpstr>0.5 Mi Zone Seperation</vt:lpstr>
      <vt:lpstr>1 Mi Zone Seperation</vt:lpstr>
      <vt:lpstr>KSP Crash Data</vt:lpstr>
      <vt:lpstr>Legacy Trail</vt:lpstr>
      <vt:lpstr>Town Branch Trail</vt:lpstr>
    </vt:vector>
  </TitlesOfParts>
  <Company>URS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Kylie</dc:creator>
  <cp:lastModifiedBy>Jason Weiss</cp:lastModifiedBy>
  <dcterms:created xsi:type="dcterms:W3CDTF">2015-05-13T17:57:42Z</dcterms:created>
  <dcterms:modified xsi:type="dcterms:W3CDTF">2016-04-29T14:20:04Z</dcterms:modified>
</cp:coreProperties>
</file>